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Dutcher01\Desktop\"/>
    </mc:Choice>
  </mc:AlternateContent>
  <xr:revisionPtr revIDLastSave="0" documentId="8_{F8970FC6-4FE1-4B59-AB68-00898D6CDF1E}" xr6:coauthVersionLast="47" xr6:coauthVersionMax="47" xr10:uidLastSave="{00000000-0000-0000-0000-000000000000}"/>
  <bookViews>
    <workbookView xWindow="-15885" yWindow="5055" windowWidth="15945" windowHeight="12990" firstSheet="2" activeTab="2" xr2:uid="{C377DABD-CC50-4FDD-A410-DCE81C2E3ECE}"/>
  </bookViews>
  <sheets>
    <sheet name="Summary Dynamic" sheetId="1" r:id="rId1"/>
    <sheet name="Summary Dashboard" sheetId="2" r:id="rId2"/>
    <sheet name="Assumption Inputs" sheetId="3" r:id="rId3"/>
    <sheet name="State" sheetId="4" r:id="rId4"/>
    <sheet name="Non-State" sheetId="5" r:id="rId5"/>
    <sheet name="Negative SPC" sheetId="6" r:id="rId6"/>
    <sheet name="Payment Output" sheetId="7" r:id="rId7"/>
  </sheets>
  <definedNames>
    <definedName name="_Fill" hidden="1">#REF!</definedName>
    <definedName name="_xlnm._FilterDatabase" localSheetId="4" hidden="1">'Non-State'!$A$15:$DA$1048576</definedName>
    <definedName name="_xlnm._FilterDatabase" localSheetId="3" hidden="1">State!$A$13:$AMV$13</definedName>
    <definedName name="All_Funds_DSH_Allocation">'Assumption Inputs'!$C$14</definedName>
    <definedName name="ccccc" hidden="1">#REF!</definedName>
    <definedName name="DSH_Allotment_Decrease_YoY">'Assumption Inputs'!$G$17</definedName>
    <definedName name="DY">'Assumption Inputs'!$C$10</definedName>
    <definedName name="Factor_Applied_to_SPC_Less_Attributable_Advance_Payments">'Assumption Inputs'!$G$20</definedName>
    <definedName name="Factor_Applied_to_State_IMDs">'Assumption Inputs'!$G$22</definedName>
    <definedName name="Federal_DSH_Allocation">'Assumption Inputs'!$C$15</definedName>
    <definedName name="Federal_Match_Rate">'Assumption Inputs'!$C$11</definedName>
    <definedName name="Federal_TH_Public_Hospital_IGT_Commitment">'Assumption Inputs'!$M$21</definedName>
    <definedName name="Non_TH_Hold_Harmless_Days_Adj">'Assumption Inputs'!$G$33</definedName>
    <definedName name="NonTransferring_Hospital_Self_IGT_Adj">'Assumption Inputs'!$C$18</definedName>
    <definedName name="Pass_3_Set_Aside">'Assumption Inputs'!$L$13</definedName>
    <definedName name="Reduction_Percentage">'Assumption Inputs'!$C$13</definedName>
    <definedName name="Remaining_NonState_for_DSH_Payments">'Assumption Inputs'!$C$30</definedName>
    <definedName name="Remaining_Total_NonState_Funds">'Assumption Inputs'!$C$28</definedName>
    <definedName name="Set_Aside_IGT_Repayment">'Assumption Inputs'!$C$29</definedName>
    <definedName name="State_GR_Commitment">'Assumption Inputs'!$C$17</definedName>
    <definedName name="State_Match_Rate">'Assumption Inputs'!$C$12</definedName>
    <definedName name="State_Remaining_Funds_for_NonState_Pass_1_and_2">'Assumption Inputs'!$N$19</definedName>
    <definedName name="Texas_IMD_Cap">'Assumption Inputs'!$C$16</definedName>
    <definedName name="TH_IGT_Repayment">'Assumption Inputs'!$G$30</definedName>
    <definedName name="Total_Remaining_Funds_for_Non_State_Pass_1_and_2">'Assumption Inputs'!$L$19</definedName>
    <definedName name="Total_State_GR_Commitment">'Assumption Inputs'!$L$22</definedName>
    <definedName name="Year">'Assumption Inputs'!$C$9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96" i="7" l="1"/>
  <c r="L196" i="7"/>
  <c r="K196" i="7"/>
  <c r="J196" i="7"/>
  <c r="I196" i="7"/>
  <c r="H196" i="7"/>
  <c r="G196" i="7"/>
  <c r="F196" i="7"/>
  <c r="D196" i="7"/>
  <c r="C196" i="7"/>
  <c r="B196" i="7"/>
  <c r="M195" i="7"/>
  <c r="L195" i="7"/>
  <c r="K195" i="7"/>
  <c r="J195" i="7"/>
  <c r="I195" i="7"/>
  <c r="H195" i="7"/>
  <c r="G195" i="7"/>
  <c r="F195" i="7"/>
  <c r="D195" i="7"/>
  <c r="C195" i="7"/>
  <c r="B195" i="7"/>
  <c r="M194" i="7"/>
  <c r="L194" i="7"/>
  <c r="K194" i="7"/>
  <c r="J194" i="7"/>
  <c r="I194" i="7"/>
  <c r="H194" i="7"/>
  <c r="G194" i="7"/>
  <c r="F194" i="7"/>
  <c r="D194" i="7"/>
  <c r="C194" i="7"/>
  <c r="B194" i="7"/>
  <c r="M193" i="7"/>
  <c r="L193" i="7"/>
  <c r="K193" i="7"/>
  <c r="J193" i="7"/>
  <c r="I193" i="7"/>
  <c r="H193" i="7"/>
  <c r="G193" i="7"/>
  <c r="F193" i="7"/>
  <c r="D193" i="7"/>
  <c r="C193" i="7"/>
  <c r="B193" i="7"/>
  <c r="M192" i="7"/>
  <c r="L192" i="7"/>
  <c r="K192" i="7"/>
  <c r="J192" i="7"/>
  <c r="I192" i="7"/>
  <c r="H192" i="7"/>
  <c r="G192" i="7"/>
  <c r="F192" i="7"/>
  <c r="D192" i="7"/>
  <c r="C192" i="7"/>
  <c r="B192" i="7"/>
  <c r="M191" i="7"/>
  <c r="L191" i="7"/>
  <c r="K191" i="7"/>
  <c r="J191" i="7"/>
  <c r="I191" i="7"/>
  <c r="H191" i="7"/>
  <c r="G191" i="7"/>
  <c r="F191" i="7"/>
  <c r="D191" i="7"/>
  <c r="C191" i="7"/>
  <c r="B191" i="7"/>
  <c r="M190" i="7"/>
  <c r="L190" i="7"/>
  <c r="K190" i="7"/>
  <c r="J190" i="7"/>
  <c r="I190" i="7"/>
  <c r="H190" i="7"/>
  <c r="G190" i="7"/>
  <c r="F190" i="7"/>
  <c r="D190" i="7"/>
  <c r="C190" i="7"/>
  <c r="B190" i="7"/>
  <c r="M189" i="7"/>
  <c r="L189" i="7"/>
  <c r="K189" i="7"/>
  <c r="J189" i="7"/>
  <c r="I189" i="7"/>
  <c r="H189" i="7"/>
  <c r="G189" i="7"/>
  <c r="F189" i="7"/>
  <c r="D189" i="7"/>
  <c r="C189" i="7"/>
  <c r="B189" i="7"/>
  <c r="M188" i="7"/>
  <c r="L188" i="7"/>
  <c r="K188" i="7"/>
  <c r="J188" i="7"/>
  <c r="I188" i="7"/>
  <c r="H188" i="7"/>
  <c r="G188" i="7"/>
  <c r="F188" i="7"/>
  <c r="D188" i="7"/>
  <c r="C188" i="7"/>
  <c r="B188" i="7"/>
  <c r="M187" i="7"/>
  <c r="L187" i="7"/>
  <c r="K187" i="7"/>
  <c r="J187" i="7"/>
  <c r="I187" i="7"/>
  <c r="H187" i="7"/>
  <c r="G187" i="7"/>
  <c r="F187" i="7"/>
  <c r="D187" i="7"/>
  <c r="C187" i="7"/>
  <c r="B187" i="7"/>
  <c r="M186" i="7"/>
  <c r="L186" i="7"/>
  <c r="K186" i="7"/>
  <c r="J186" i="7"/>
  <c r="I186" i="7"/>
  <c r="H186" i="7"/>
  <c r="G186" i="7"/>
  <c r="F186" i="7"/>
  <c r="D186" i="7"/>
  <c r="C186" i="7"/>
  <c r="B186" i="7"/>
  <c r="M185" i="7"/>
  <c r="L185" i="7"/>
  <c r="K185" i="7"/>
  <c r="J185" i="7"/>
  <c r="I185" i="7"/>
  <c r="H185" i="7"/>
  <c r="G185" i="7"/>
  <c r="F185" i="7"/>
  <c r="D185" i="7"/>
  <c r="C185" i="7"/>
  <c r="B185" i="7"/>
  <c r="M184" i="7"/>
  <c r="L184" i="7"/>
  <c r="K184" i="7"/>
  <c r="J184" i="7"/>
  <c r="I184" i="7"/>
  <c r="H184" i="7"/>
  <c r="G184" i="7"/>
  <c r="F184" i="7"/>
  <c r="D184" i="7"/>
  <c r="C184" i="7"/>
  <c r="B184" i="7"/>
  <c r="M183" i="7"/>
  <c r="L183" i="7"/>
  <c r="K183" i="7"/>
  <c r="J183" i="7"/>
  <c r="I183" i="7"/>
  <c r="H183" i="7"/>
  <c r="G183" i="7"/>
  <c r="F183" i="7"/>
  <c r="D183" i="7"/>
  <c r="C183" i="7"/>
  <c r="B183" i="7"/>
  <c r="M182" i="7"/>
  <c r="L182" i="7"/>
  <c r="K182" i="7"/>
  <c r="J182" i="7"/>
  <c r="I182" i="7"/>
  <c r="H182" i="7"/>
  <c r="G182" i="7"/>
  <c r="F182" i="7"/>
  <c r="D182" i="7"/>
  <c r="C182" i="7"/>
  <c r="B182" i="7"/>
  <c r="M181" i="7"/>
  <c r="L181" i="7"/>
  <c r="K181" i="7"/>
  <c r="J181" i="7"/>
  <c r="I181" i="7"/>
  <c r="H181" i="7"/>
  <c r="G181" i="7"/>
  <c r="F181" i="7"/>
  <c r="D181" i="7"/>
  <c r="C181" i="7"/>
  <c r="B181" i="7"/>
  <c r="M180" i="7"/>
  <c r="L180" i="7"/>
  <c r="K180" i="7"/>
  <c r="J180" i="7"/>
  <c r="I180" i="7"/>
  <c r="H180" i="7"/>
  <c r="G180" i="7"/>
  <c r="F180" i="7"/>
  <c r="D180" i="7"/>
  <c r="C180" i="7"/>
  <c r="B180" i="7"/>
  <c r="M179" i="7"/>
  <c r="L179" i="7"/>
  <c r="K179" i="7"/>
  <c r="J179" i="7"/>
  <c r="I179" i="7"/>
  <c r="H179" i="7"/>
  <c r="G179" i="7"/>
  <c r="F179" i="7"/>
  <c r="D179" i="7"/>
  <c r="C179" i="7"/>
  <c r="B179" i="7"/>
  <c r="M178" i="7"/>
  <c r="L178" i="7"/>
  <c r="K178" i="7"/>
  <c r="J178" i="7"/>
  <c r="I178" i="7"/>
  <c r="H178" i="7"/>
  <c r="G178" i="7"/>
  <c r="F178" i="7"/>
  <c r="D178" i="7"/>
  <c r="C178" i="7"/>
  <c r="B178" i="7"/>
  <c r="M177" i="7"/>
  <c r="L177" i="7"/>
  <c r="K177" i="7"/>
  <c r="J177" i="7"/>
  <c r="I177" i="7"/>
  <c r="H177" i="7"/>
  <c r="G177" i="7"/>
  <c r="F177" i="7"/>
  <c r="D177" i="7"/>
  <c r="C177" i="7"/>
  <c r="B177" i="7"/>
  <c r="M176" i="7"/>
  <c r="L176" i="7"/>
  <c r="K176" i="7"/>
  <c r="J176" i="7"/>
  <c r="I176" i="7"/>
  <c r="H176" i="7"/>
  <c r="G176" i="7"/>
  <c r="F176" i="7"/>
  <c r="D176" i="7"/>
  <c r="C176" i="7"/>
  <c r="B176" i="7"/>
  <c r="M175" i="7"/>
  <c r="L175" i="7"/>
  <c r="K175" i="7"/>
  <c r="J175" i="7"/>
  <c r="I175" i="7"/>
  <c r="H175" i="7"/>
  <c r="G175" i="7"/>
  <c r="F175" i="7"/>
  <c r="D175" i="7"/>
  <c r="C175" i="7"/>
  <c r="B175" i="7"/>
  <c r="M174" i="7"/>
  <c r="L174" i="7"/>
  <c r="K174" i="7"/>
  <c r="J174" i="7"/>
  <c r="I174" i="7"/>
  <c r="H174" i="7"/>
  <c r="G174" i="7"/>
  <c r="F174" i="7"/>
  <c r="D174" i="7"/>
  <c r="C174" i="7"/>
  <c r="B174" i="7"/>
  <c r="M173" i="7"/>
  <c r="L173" i="7"/>
  <c r="K173" i="7"/>
  <c r="J173" i="7"/>
  <c r="I173" i="7"/>
  <c r="H173" i="7"/>
  <c r="G173" i="7"/>
  <c r="F173" i="7"/>
  <c r="D173" i="7"/>
  <c r="C173" i="7"/>
  <c r="B173" i="7"/>
  <c r="M172" i="7"/>
  <c r="L172" i="7"/>
  <c r="K172" i="7"/>
  <c r="J172" i="7"/>
  <c r="I172" i="7"/>
  <c r="H172" i="7"/>
  <c r="G172" i="7"/>
  <c r="F172" i="7"/>
  <c r="D172" i="7"/>
  <c r="C172" i="7"/>
  <c r="B172" i="7"/>
  <c r="M171" i="7"/>
  <c r="L171" i="7"/>
  <c r="K171" i="7"/>
  <c r="J171" i="7"/>
  <c r="I171" i="7"/>
  <c r="H171" i="7"/>
  <c r="G171" i="7"/>
  <c r="F171" i="7"/>
  <c r="D171" i="7"/>
  <c r="C171" i="7"/>
  <c r="B171" i="7"/>
  <c r="M170" i="7"/>
  <c r="L170" i="7"/>
  <c r="K170" i="7"/>
  <c r="J170" i="7"/>
  <c r="I170" i="7"/>
  <c r="H170" i="7"/>
  <c r="G170" i="7"/>
  <c r="F170" i="7"/>
  <c r="D170" i="7"/>
  <c r="C170" i="7"/>
  <c r="B170" i="7"/>
  <c r="M169" i="7"/>
  <c r="L169" i="7"/>
  <c r="K169" i="7"/>
  <c r="J169" i="7"/>
  <c r="I169" i="7"/>
  <c r="H169" i="7"/>
  <c r="G169" i="7"/>
  <c r="F169" i="7"/>
  <c r="D169" i="7"/>
  <c r="C169" i="7"/>
  <c r="B169" i="7"/>
  <c r="M168" i="7"/>
  <c r="L168" i="7"/>
  <c r="K168" i="7"/>
  <c r="J168" i="7"/>
  <c r="I168" i="7"/>
  <c r="H168" i="7"/>
  <c r="G168" i="7"/>
  <c r="F168" i="7"/>
  <c r="D168" i="7"/>
  <c r="C168" i="7"/>
  <c r="B168" i="7"/>
  <c r="M167" i="7"/>
  <c r="L167" i="7"/>
  <c r="K167" i="7"/>
  <c r="J167" i="7"/>
  <c r="I167" i="7"/>
  <c r="H167" i="7"/>
  <c r="G167" i="7"/>
  <c r="F167" i="7"/>
  <c r="D167" i="7"/>
  <c r="C167" i="7"/>
  <c r="B167" i="7"/>
  <c r="M166" i="7"/>
  <c r="L166" i="7"/>
  <c r="K166" i="7"/>
  <c r="J166" i="7"/>
  <c r="I166" i="7"/>
  <c r="H166" i="7"/>
  <c r="G166" i="7"/>
  <c r="F166" i="7"/>
  <c r="D166" i="7"/>
  <c r="C166" i="7"/>
  <c r="B166" i="7"/>
  <c r="M165" i="7"/>
  <c r="L165" i="7"/>
  <c r="K165" i="7"/>
  <c r="J165" i="7"/>
  <c r="I165" i="7"/>
  <c r="H165" i="7"/>
  <c r="G165" i="7"/>
  <c r="F165" i="7"/>
  <c r="D165" i="7"/>
  <c r="C165" i="7"/>
  <c r="B165" i="7"/>
  <c r="M164" i="7"/>
  <c r="L164" i="7"/>
  <c r="K164" i="7"/>
  <c r="J164" i="7"/>
  <c r="I164" i="7"/>
  <c r="H164" i="7"/>
  <c r="G164" i="7"/>
  <c r="F164" i="7"/>
  <c r="D164" i="7"/>
  <c r="C164" i="7"/>
  <c r="B164" i="7"/>
  <c r="M163" i="7"/>
  <c r="L163" i="7"/>
  <c r="K163" i="7"/>
  <c r="J163" i="7"/>
  <c r="I163" i="7"/>
  <c r="H163" i="7"/>
  <c r="G163" i="7"/>
  <c r="F163" i="7"/>
  <c r="D163" i="7"/>
  <c r="C163" i="7"/>
  <c r="B163" i="7"/>
  <c r="M162" i="7"/>
  <c r="L162" i="7"/>
  <c r="K162" i="7"/>
  <c r="J162" i="7"/>
  <c r="I162" i="7"/>
  <c r="H162" i="7"/>
  <c r="G162" i="7"/>
  <c r="F162" i="7"/>
  <c r="D162" i="7"/>
  <c r="C162" i="7"/>
  <c r="B162" i="7"/>
  <c r="M161" i="7"/>
  <c r="L161" i="7"/>
  <c r="K161" i="7"/>
  <c r="J161" i="7"/>
  <c r="I161" i="7"/>
  <c r="H161" i="7"/>
  <c r="G161" i="7"/>
  <c r="F161" i="7"/>
  <c r="D161" i="7"/>
  <c r="C161" i="7"/>
  <c r="B161" i="7"/>
  <c r="M160" i="7"/>
  <c r="L160" i="7"/>
  <c r="K160" i="7"/>
  <c r="J160" i="7"/>
  <c r="I160" i="7"/>
  <c r="H160" i="7"/>
  <c r="G160" i="7"/>
  <c r="F160" i="7"/>
  <c r="D160" i="7"/>
  <c r="C160" i="7"/>
  <c r="B160" i="7"/>
  <c r="M159" i="7"/>
  <c r="L159" i="7"/>
  <c r="K159" i="7"/>
  <c r="J159" i="7"/>
  <c r="I159" i="7"/>
  <c r="H159" i="7"/>
  <c r="G159" i="7"/>
  <c r="F159" i="7"/>
  <c r="D159" i="7"/>
  <c r="C159" i="7"/>
  <c r="B159" i="7"/>
  <c r="M158" i="7"/>
  <c r="L158" i="7"/>
  <c r="K158" i="7"/>
  <c r="J158" i="7"/>
  <c r="I158" i="7"/>
  <c r="H158" i="7"/>
  <c r="G158" i="7"/>
  <c r="F158" i="7"/>
  <c r="D158" i="7"/>
  <c r="C158" i="7"/>
  <c r="B158" i="7"/>
  <c r="M157" i="7"/>
  <c r="L157" i="7"/>
  <c r="K157" i="7"/>
  <c r="J157" i="7"/>
  <c r="I157" i="7"/>
  <c r="H157" i="7"/>
  <c r="G157" i="7"/>
  <c r="F157" i="7"/>
  <c r="D157" i="7"/>
  <c r="C157" i="7"/>
  <c r="B157" i="7"/>
  <c r="K156" i="7"/>
  <c r="J156" i="7"/>
  <c r="I156" i="7"/>
  <c r="H156" i="7"/>
  <c r="G156" i="7"/>
  <c r="F156" i="7"/>
  <c r="D156" i="7"/>
  <c r="C156" i="7"/>
  <c r="B156" i="7"/>
  <c r="K155" i="7"/>
  <c r="J155" i="7"/>
  <c r="I155" i="7"/>
  <c r="H155" i="7"/>
  <c r="G155" i="7"/>
  <c r="F155" i="7"/>
  <c r="D155" i="7"/>
  <c r="C155" i="7"/>
  <c r="B155" i="7"/>
  <c r="B5" i="7"/>
  <c r="G1" i="7"/>
  <c r="AS168" i="5"/>
  <c r="AS167" i="5"/>
  <c r="CP166" i="5"/>
  <c r="CN166" i="5"/>
  <c r="CM166" i="5"/>
  <c r="CK166" i="5"/>
  <c r="CL166" i="5" s="1"/>
  <c r="CH166" i="5"/>
  <c r="L156" i="7" s="1"/>
  <c r="CE166" i="5"/>
  <c r="CD166" i="5"/>
  <c r="CC166" i="5"/>
  <c r="CB166" i="5"/>
  <c r="M156" i="7" s="1"/>
  <c r="CA166" i="5"/>
  <c r="BZ166" i="5"/>
  <c r="BY166" i="5"/>
  <c r="BX166" i="5"/>
  <c r="BW166" i="5"/>
  <c r="BV166" i="5"/>
  <c r="BU166" i="5"/>
  <c r="BT166" i="5"/>
  <c r="AF166" i="5"/>
  <c r="AB166" i="5"/>
  <c r="AA166" i="5"/>
  <c r="Z166" i="5"/>
  <c r="CP165" i="5"/>
  <c r="CM165" i="5"/>
  <c r="CN165" i="5" s="1"/>
  <c r="CK165" i="5"/>
  <c r="CL165" i="5" s="1"/>
  <c r="CH165" i="5"/>
  <c r="L155" i="7" s="1"/>
  <c r="CE165" i="5"/>
  <c r="CD165" i="5"/>
  <c r="CC165" i="5"/>
  <c r="CA165" i="5"/>
  <c r="BZ165" i="5"/>
  <c r="BY165" i="5"/>
  <c r="BX165" i="5"/>
  <c r="CB165" i="5" s="1"/>
  <c r="M155" i="7" s="1"/>
  <c r="BW165" i="5"/>
  <c r="BV165" i="5"/>
  <c r="BU165" i="5"/>
  <c r="BT165" i="5"/>
  <c r="AF165" i="5"/>
  <c r="AB165" i="5"/>
  <c r="Z165" i="5"/>
  <c r="AA165" i="5" s="1"/>
  <c r="BI16" i="5"/>
  <c r="B16" i="5"/>
  <c r="CH15" i="5"/>
  <c r="BO15" i="5"/>
  <c r="BJ15" i="5"/>
  <c r="BI15" i="5"/>
  <c r="BH15" i="5"/>
  <c r="BG15" i="5"/>
  <c r="C15" i="5"/>
  <c r="BJ14" i="5"/>
  <c r="B17" i="5"/>
  <c r="CL4" i="5"/>
  <c r="Y4" i="5"/>
  <c r="X4" i="5"/>
  <c r="B14" i="4"/>
  <c r="Z13" i="4"/>
  <c r="Y13" i="4"/>
  <c r="N13" i="4"/>
  <c r="C13" i="4"/>
  <c r="B15" i="4"/>
  <c r="G33" i="3"/>
  <c r="G32" i="3"/>
  <c r="M28" i="3"/>
  <c r="N22" i="3"/>
  <c r="L22" i="3" s="1"/>
  <c r="M22" i="3" s="1"/>
  <c r="C15" i="3"/>
  <c r="M9" i="3" s="1"/>
  <c r="O14" i="3"/>
  <c r="G17" i="3"/>
  <c r="E13" i="3"/>
  <c r="O12" i="3"/>
  <c r="C12" i="3"/>
  <c r="N11" i="3"/>
  <c r="O11" i="3" s="1"/>
  <c r="L11" i="3"/>
  <c r="M11" i="3" s="1"/>
  <c r="E9" i="3"/>
  <c r="N8" i="3"/>
  <c r="L8" i="3" s="1"/>
  <c r="M8" i="3"/>
  <c r="G7" i="3"/>
  <c r="K48" i="2"/>
  <c r="I42" i="2"/>
  <c r="O37" i="1"/>
  <c r="J37" i="1"/>
  <c r="O16" i="1"/>
  <c r="H16" i="1"/>
  <c r="G16" i="1"/>
  <c r="O8" i="1"/>
  <c r="J8" i="1"/>
  <c r="L13" i="3" l="1"/>
  <c r="E17" i="3"/>
  <c r="B16" i="4"/>
  <c r="B18" i="5"/>
  <c r="L9" i="3"/>
  <c r="B6" i="7"/>
  <c r="B17" i="4" l="1"/>
  <c r="N9" i="3"/>
  <c r="B7" i="7"/>
  <c r="BI17" i="5"/>
  <c r="BU4" i="5"/>
  <c r="M13" i="3"/>
  <c r="N13" i="3"/>
  <c r="B19" i="5"/>
  <c r="B18" i="4" l="1"/>
  <c r="B8" i="7"/>
  <c r="BI18" i="5"/>
  <c r="B20" i="5"/>
  <c r="O13" i="3"/>
  <c r="O9" i="3"/>
  <c r="B9" i="7" l="1"/>
  <c r="BI19" i="5"/>
  <c r="B19" i="4"/>
  <c r="B21" i="5"/>
  <c r="B10" i="7" l="1"/>
  <c r="BI20" i="5"/>
  <c r="B22" i="5"/>
  <c r="B20" i="4"/>
  <c r="B11" i="7" l="1"/>
  <c r="BI21" i="5"/>
  <c r="B21" i="4"/>
  <c r="B23" i="5"/>
  <c r="B12" i="7" l="1"/>
  <c r="BI22" i="5"/>
  <c r="B24" i="5"/>
  <c r="B22" i="4"/>
  <c r="B13" i="7" l="1"/>
  <c r="BI23" i="5"/>
  <c r="B25" i="5"/>
  <c r="B23" i="4"/>
  <c r="B24" i="4" l="1"/>
  <c r="B26" i="5"/>
  <c r="B14" i="7"/>
  <c r="BI24" i="5"/>
  <c r="B25" i="4" l="1"/>
  <c r="B15" i="7"/>
  <c r="BI25" i="5"/>
  <c r="B27" i="5"/>
  <c r="B26" i="4" l="1"/>
  <c r="B16" i="7"/>
  <c r="BI26" i="5"/>
  <c r="B28" i="5"/>
  <c r="B27" i="4" l="1"/>
  <c r="Q26" i="4"/>
  <c r="B17" i="7"/>
  <c r="BI27" i="5"/>
  <c r="B29" i="5"/>
  <c r="T26" i="4" l="1"/>
  <c r="AA26" i="4"/>
  <c r="Q27" i="4"/>
  <c r="R27" i="4" s="1"/>
  <c r="B28" i="4"/>
  <c r="B18" i="7"/>
  <c r="BI28" i="5"/>
  <c r="B30" i="5"/>
  <c r="R26" i="4"/>
  <c r="V26" i="4" s="1"/>
  <c r="AG26" i="4"/>
  <c r="AF26" i="4"/>
  <c r="AF27" i="4" l="1"/>
  <c r="AG27" i="4"/>
  <c r="T27" i="4"/>
  <c r="S26" i="4"/>
  <c r="B19" i="7"/>
  <c r="BI29" i="5"/>
  <c r="Q28" i="4"/>
  <c r="R28" i="4" s="1"/>
  <c r="B29" i="4"/>
  <c r="V27" i="4"/>
  <c r="B31" i="5"/>
  <c r="AA27" i="4"/>
  <c r="S27" i="4"/>
  <c r="U26" i="4"/>
  <c r="B30" i="4" l="1"/>
  <c r="Q29" i="4"/>
  <c r="R29" i="4" s="1"/>
  <c r="AA28" i="4"/>
  <c r="S28" i="4"/>
  <c r="U27" i="4"/>
  <c r="AG28" i="4"/>
  <c r="AF28" i="4"/>
  <c r="B32" i="5"/>
  <c r="B20" i="7"/>
  <c r="BI30" i="5"/>
  <c r="T28" i="4"/>
  <c r="V28" i="4" s="1"/>
  <c r="B33" i="5" l="1"/>
  <c r="AG29" i="4"/>
  <c r="AF29" i="4"/>
  <c r="T29" i="4"/>
  <c r="B21" i="7"/>
  <c r="BI31" i="5"/>
  <c r="U28" i="4"/>
  <c r="AA29" i="4"/>
  <c r="S29" i="4"/>
  <c r="B31" i="4"/>
  <c r="AA30" i="4" l="1"/>
  <c r="B34" i="5"/>
  <c r="U29" i="4"/>
  <c r="T30" i="4"/>
  <c r="Q30" i="4"/>
  <c r="R30" i="4" s="1"/>
  <c r="V30" i="4" s="1"/>
  <c r="B22" i="7"/>
  <c r="BI32" i="5"/>
  <c r="AG30" i="4"/>
  <c r="AF30" i="4"/>
  <c r="V29" i="4"/>
  <c r="B35" i="5" l="1"/>
  <c r="AA31" i="4"/>
  <c r="AG31" i="4"/>
  <c r="AF31" i="4"/>
  <c r="B23" i="7"/>
  <c r="BI33" i="5"/>
  <c r="U30" i="4"/>
  <c r="T31" i="4"/>
  <c r="Q31" i="4"/>
  <c r="R31" i="4" s="1"/>
  <c r="S30" i="4"/>
  <c r="V31" i="4" l="1"/>
  <c r="S31" i="4"/>
  <c r="B24" i="7"/>
  <c r="BI34" i="5"/>
  <c r="B36" i="5"/>
  <c r="U31" i="4"/>
  <c r="B25" i="7" l="1"/>
  <c r="BI35" i="5"/>
  <c r="B37" i="5"/>
  <c r="B26" i="7" l="1"/>
  <c r="BI36" i="5"/>
  <c r="B38" i="5"/>
  <c r="B39" i="5" l="1"/>
  <c r="B27" i="7"/>
  <c r="BI37" i="5"/>
  <c r="B40" i="5" l="1"/>
  <c r="B28" i="7"/>
  <c r="BI38" i="5"/>
  <c r="B41" i="5" l="1"/>
  <c r="B29" i="7"/>
  <c r="BI39" i="5"/>
  <c r="B42" i="5" l="1"/>
  <c r="B30" i="7"/>
  <c r="BI40" i="5"/>
  <c r="G6" i="7" l="1"/>
  <c r="G7" i="7"/>
  <c r="G8" i="7"/>
  <c r="G9" i="7"/>
  <c r="G10" i="7"/>
  <c r="G11" i="7"/>
  <c r="G12" i="7"/>
  <c r="G13" i="7"/>
  <c r="G14" i="7"/>
  <c r="G15" i="7"/>
  <c r="G16" i="7"/>
  <c r="G17" i="7"/>
  <c r="Z26" i="4"/>
  <c r="G18" i="7"/>
  <c r="Z27" i="4"/>
  <c r="G19" i="7"/>
  <c r="Z28" i="4"/>
  <c r="G20" i="7"/>
  <c r="G21" i="7"/>
  <c r="Z29" i="4"/>
  <c r="G22" i="7"/>
  <c r="Z30" i="4"/>
  <c r="Z31" i="4"/>
  <c r="G23" i="7"/>
  <c r="G24" i="7"/>
  <c r="G25" i="7"/>
  <c r="G26" i="7"/>
  <c r="G27" i="7"/>
  <c r="G28" i="7"/>
  <c r="G29" i="7"/>
  <c r="G30" i="7"/>
  <c r="B43" i="5"/>
  <c r="B31" i="7"/>
  <c r="BI41" i="5"/>
  <c r="G31" i="7"/>
  <c r="F31" i="7"/>
  <c r="F6" i="7" l="1"/>
  <c r="F7" i="7"/>
  <c r="F8" i="7"/>
  <c r="F9" i="7"/>
  <c r="F10" i="7"/>
  <c r="F11" i="7"/>
  <c r="F12" i="7"/>
  <c r="F13" i="7"/>
  <c r="F14" i="7"/>
  <c r="F15" i="7"/>
  <c r="F16" i="7"/>
  <c r="F17" i="7"/>
  <c r="F18" i="7"/>
  <c r="Y26" i="4"/>
  <c r="AD26" i="4" s="1"/>
  <c r="AE26" i="4" s="1"/>
  <c r="F19" i="7"/>
  <c r="Y27" i="4"/>
  <c r="AD27" i="4" s="1"/>
  <c r="AE27" i="4" s="1"/>
  <c r="Y28" i="4"/>
  <c r="AD28" i="4" s="1"/>
  <c r="AE28" i="4" s="1"/>
  <c r="F20" i="7"/>
  <c r="Y29" i="4"/>
  <c r="AD29" i="4" s="1"/>
  <c r="AE29" i="4" s="1"/>
  <c r="F21" i="7"/>
  <c r="Y30" i="4"/>
  <c r="AD30" i="4" s="1"/>
  <c r="AE30" i="4" s="1"/>
  <c r="F22" i="7"/>
  <c r="F23" i="7"/>
  <c r="Y31" i="4"/>
  <c r="AD31" i="4" s="1"/>
  <c r="AE31" i="4" s="1"/>
  <c r="F24" i="7"/>
  <c r="F25" i="7"/>
  <c r="F26" i="7"/>
  <c r="F27" i="7"/>
  <c r="F28" i="7"/>
  <c r="F29" i="7"/>
  <c r="F30" i="7"/>
  <c r="B32" i="7"/>
  <c r="BI42" i="5"/>
  <c r="G32" i="7"/>
  <c r="F32" i="7"/>
  <c r="B44" i="5"/>
  <c r="G9" i="2"/>
  <c r="M9" i="2"/>
  <c r="B33" i="7" l="1"/>
  <c r="G33" i="7"/>
  <c r="F33" i="7"/>
  <c r="BI43" i="5"/>
  <c r="M10" i="2"/>
  <c r="G10" i="2"/>
  <c r="B45" i="5"/>
  <c r="C34" i="7" l="1"/>
  <c r="D34" i="7"/>
  <c r="R44" i="5"/>
  <c r="B46" i="5"/>
  <c r="C27" i="7"/>
  <c r="AD37" i="5"/>
  <c r="D27" i="7"/>
  <c r="R37" i="5"/>
  <c r="C19" i="7"/>
  <c r="AD29" i="5"/>
  <c r="D19" i="7"/>
  <c r="AF22" i="4"/>
  <c r="C10" i="7"/>
  <c r="AD20" i="5"/>
  <c r="R20" i="5"/>
  <c r="D10" i="7"/>
  <c r="S20" i="5"/>
  <c r="C6" i="7"/>
  <c r="AD16" i="5"/>
  <c r="R16" i="5"/>
  <c r="S16" i="5" s="1"/>
  <c r="C26" i="7"/>
  <c r="AD36" i="5"/>
  <c r="R36" i="5"/>
  <c r="D26" i="7"/>
  <c r="C18" i="7"/>
  <c r="AD28" i="5"/>
  <c r="R28" i="5"/>
  <c r="D18" i="7"/>
  <c r="C14" i="7"/>
  <c r="AD24" i="5"/>
  <c r="D14" i="7"/>
  <c r="C25" i="7"/>
  <c r="AD35" i="5"/>
  <c r="D25" i="7"/>
  <c r="C17" i="7"/>
  <c r="AD27" i="5"/>
  <c r="R27" i="5"/>
  <c r="S27" i="5"/>
  <c r="D17" i="7"/>
  <c r="C13" i="7"/>
  <c r="AD23" i="5"/>
  <c r="D13" i="7"/>
  <c r="R23" i="5"/>
  <c r="C9" i="7"/>
  <c r="AD19" i="5"/>
  <c r="D9" i="7"/>
  <c r="C33" i="7"/>
  <c r="D33" i="7"/>
  <c r="C24" i="7"/>
  <c r="AD34" i="5"/>
  <c r="D24" i="7"/>
  <c r="AF25" i="4"/>
  <c r="AF17" i="4"/>
  <c r="G11" i="2"/>
  <c r="C32" i="7"/>
  <c r="AD42" i="5"/>
  <c r="D32" i="7"/>
  <c r="C31" i="7"/>
  <c r="AD41" i="5"/>
  <c r="D31" i="7"/>
  <c r="C23" i="7"/>
  <c r="AD33" i="5"/>
  <c r="D23" i="7"/>
  <c r="R33" i="5"/>
  <c r="C16" i="7"/>
  <c r="AD26" i="5"/>
  <c r="D16" i="7"/>
  <c r="R26" i="5"/>
  <c r="AF20" i="4"/>
  <c r="C30" i="7"/>
  <c r="AD40" i="5"/>
  <c r="D30" i="7"/>
  <c r="C22" i="7"/>
  <c r="AD32" i="5"/>
  <c r="D22" i="7"/>
  <c r="C12" i="7"/>
  <c r="AD22" i="5"/>
  <c r="R22" i="5"/>
  <c r="D12" i="7"/>
  <c r="C8" i="7"/>
  <c r="AD18" i="5"/>
  <c r="D8" i="7"/>
  <c r="R18" i="5"/>
  <c r="AD43" i="5"/>
  <c r="Z16" i="5"/>
  <c r="Q14" i="4"/>
  <c r="Z18" i="5"/>
  <c r="Q16" i="4"/>
  <c r="Q17" i="4"/>
  <c r="Z19" i="5"/>
  <c r="Z20" i="5"/>
  <c r="Z22" i="5"/>
  <c r="Q20" i="4"/>
  <c r="Q21" i="4"/>
  <c r="Z23" i="5"/>
  <c r="Q22" i="4"/>
  <c r="R22" i="4" s="1"/>
  <c r="Z24" i="5"/>
  <c r="AA24" i="5" s="1"/>
  <c r="Z26" i="5"/>
  <c r="Q24" i="4"/>
  <c r="Z27" i="5"/>
  <c r="Q25" i="4"/>
  <c r="Z28" i="5"/>
  <c r="AA28" i="5" s="1"/>
  <c r="Z29" i="5"/>
  <c r="Z32" i="5"/>
  <c r="Z33" i="5"/>
  <c r="Z34" i="5"/>
  <c r="Z35" i="5"/>
  <c r="AA35" i="5" s="1"/>
  <c r="Z37" i="5"/>
  <c r="AA37" i="5" s="1"/>
  <c r="Z40" i="5"/>
  <c r="AA40" i="5" s="1"/>
  <c r="Z41" i="5"/>
  <c r="Z42" i="5"/>
  <c r="B34" i="7"/>
  <c r="BB44" i="5"/>
  <c r="BI44" i="5"/>
  <c r="AD44" i="5"/>
  <c r="F34" i="7"/>
  <c r="G34" i="7"/>
  <c r="AB44" i="5"/>
  <c r="Z44" i="5"/>
  <c r="C29" i="7"/>
  <c r="AD39" i="5"/>
  <c r="R39" i="5"/>
  <c r="D29" i="7"/>
  <c r="C21" i="7"/>
  <c r="AD31" i="5"/>
  <c r="D21" i="7"/>
  <c r="C15" i="7"/>
  <c r="AD25" i="5"/>
  <c r="R25" i="5"/>
  <c r="D15" i="7"/>
  <c r="C11" i="7"/>
  <c r="AD21" i="5"/>
  <c r="D11" i="7"/>
  <c r="C7" i="7"/>
  <c r="AD17" i="5"/>
  <c r="D7" i="7"/>
  <c r="M11" i="2"/>
  <c r="Z43" i="5"/>
  <c r="C28" i="7"/>
  <c r="AD38" i="5"/>
  <c r="R38" i="5"/>
  <c r="D28" i="7"/>
  <c r="C20" i="7"/>
  <c r="AD30" i="5"/>
  <c r="D20" i="7"/>
  <c r="AF19" i="4"/>
  <c r="M12" i="2" l="1"/>
  <c r="CP21" i="5"/>
  <c r="AB21" i="5"/>
  <c r="CM21" i="5"/>
  <c r="BR21" i="5"/>
  <c r="K11" i="7" s="1"/>
  <c r="BT31" i="5"/>
  <c r="BV31" i="5"/>
  <c r="CC31" i="5"/>
  <c r="CE31" i="5" s="1"/>
  <c r="CD31" i="5"/>
  <c r="BX31" i="5"/>
  <c r="BY31" i="5"/>
  <c r="BT18" i="5"/>
  <c r="BV18" i="5"/>
  <c r="BY18" i="5"/>
  <c r="CD18" i="5"/>
  <c r="CC18" i="5"/>
  <c r="CE18" i="5" s="1"/>
  <c r="BX18" i="5"/>
  <c r="AA26" i="5"/>
  <c r="CP33" i="5"/>
  <c r="AB33" i="5"/>
  <c r="BR33" i="5"/>
  <c r="K23" i="7" s="1"/>
  <c r="CM33" i="5"/>
  <c r="AK43" i="5"/>
  <c r="AL43" i="5" s="1"/>
  <c r="BW19" i="5"/>
  <c r="BU19" i="5"/>
  <c r="N19" i="5"/>
  <c r="BA19" i="5"/>
  <c r="AS19" i="5"/>
  <c r="BB19" i="5"/>
  <c r="AF19" i="5"/>
  <c r="N23" i="5"/>
  <c r="BW23" i="5"/>
  <c r="BU23" i="5"/>
  <c r="BA23" i="5"/>
  <c r="AS23" i="5"/>
  <c r="BB23" i="5"/>
  <c r="AF23" i="5"/>
  <c r="BV36" i="5"/>
  <c r="CC36" i="5"/>
  <c r="CE36" i="5" s="1"/>
  <c r="CD36" i="5"/>
  <c r="T20" i="5"/>
  <c r="CP20" i="5"/>
  <c r="BR20" i="5"/>
  <c r="K10" i="7" s="1"/>
  <c r="AB20" i="5"/>
  <c r="CM20" i="5"/>
  <c r="N44" i="5"/>
  <c r="BU44" i="5"/>
  <c r="AF15" i="4"/>
  <c r="BV30" i="5"/>
  <c r="BT30" i="5"/>
  <c r="BY30" i="5"/>
  <c r="CD30" i="5"/>
  <c r="BX30" i="5"/>
  <c r="CC30" i="5"/>
  <c r="CE30" i="5" s="1"/>
  <c r="BU30" i="5"/>
  <c r="N30" i="5"/>
  <c r="BW30" i="5"/>
  <c r="BA30" i="5"/>
  <c r="AS30" i="5"/>
  <c r="AF30" i="5"/>
  <c r="BB30" i="5"/>
  <c r="S38" i="5"/>
  <c r="BT21" i="5"/>
  <c r="BV21" i="5"/>
  <c r="CD21" i="5"/>
  <c r="BX21" i="5"/>
  <c r="BY21" i="5"/>
  <c r="CC21" i="5"/>
  <c r="CE21" i="5" s="1"/>
  <c r="BV25" i="5"/>
  <c r="BT25" i="5"/>
  <c r="BY25" i="5"/>
  <c r="CC25" i="5"/>
  <c r="CE25" i="5" s="1"/>
  <c r="BX25" i="5"/>
  <c r="CD25" i="5"/>
  <c r="CM44" i="5"/>
  <c r="AS44" i="5"/>
  <c r="Z36" i="5"/>
  <c r="Q23" i="4"/>
  <c r="R23" i="4" s="1"/>
  <c r="Q18" i="4"/>
  <c r="Q15" i="4"/>
  <c r="CP18" i="5"/>
  <c r="CM18" i="5"/>
  <c r="AB18" i="5"/>
  <c r="BR18" i="5"/>
  <c r="K8" i="7" s="1"/>
  <c r="BT22" i="5"/>
  <c r="BV22" i="5"/>
  <c r="BX22" i="5"/>
  <c r="BY22" i="5"/>
  <c r="CD22" i="5"/>
  <c r="CC22" i="5"/>
  <c r="CE22" i="5" s="1"/>
  <c r="S22" i="5"/>
  <c r="AA32" i="5"/>
  <c r="AE32" i="5" s="1"/>
  <c r="AH32" i="5" s="1"/>
  <c r="AK32" i="5" s="1"/>
  <c r="AL32" i="5" s="1"/>
  <c r="R42" i="5"/>
  <c r="G12" i="2"/>
  <c r="R17" i="4"/>
  <c r="AA21" i="4"/>
  <c r="CP34" i="5"/>
  <c r="CM34" i="5"/>
  <c r="BR34" i="5"/>
  <c r="K24" i="7" s="1"/>
  <c r="AB34" i="5"/>
  <c r="BV27" i="5"/>
  <c r="BT27" i="5"/>
  <c r="BY27" i="5"/>
  <c r="CC27" i="5"/>
  <c r="CE27" i="5" s="1"/>
  <c r="CD27" i="5"/>
  <c r="BX27" i="5"/>
  <c r="AA27" i="5"/>
  <c r="AE27" i="5" s="1"/>
  <c r="X5" i="4"/>
  <c r="W5" i="4"/>
  <c r="P5" i="4"/>
  <c r="O5" i="4"/>
  <c r="N5" i="4"/>
  <c r="L5" i="4"/>
  <c r="S28" i="5"/>
  <c r="R29" i="5"/>
  <c r="AA29" i="5"/>
  <c r="S44" i="5"/>
  <c r="AA19" i="4"/>
  <c r="CP30" i="5"/>
  <c r="BR30" i="5"/>
  <c r="K20" i="7" s="1"/>
  <c r="CM30" i="5"/>
  <c r="AB30" i="5"/>
  <c r="CP38" i="5"/>
  <c r="T38" i="5"/>
  <c r="BR38" i="5"/>
  <c r="K28" i="7" s="1"/>
  <c r="AB38" i="5"/>
  <c r="CM38" i="5"/>
  <c r="CP17" i="5"/>
  <c r="AB17" i="5"/>
  <c r="CM17" i="5"/>
  <c r="BR17" i="5"/>
  <c r="K7" i="7" s="1"/>
  <c r="R21" i="5"/>
  <c r="BW25" i="5"/>
  <c r="BU25" i="5"/>
  <c r="N25" i="5"/>
  <c r="BA25" i="5"/>
  <c r="AS25" i="5"/>
  <c r="BB25" i="5"/>
  <c r="AF25" i="5"/>
  <c r="BU31" i="5"/>
  <c r="N31" i="5"/>
  <c r="BW31" i="5"/>
  <c r="BA31" i="5"/>
  <c r="AS31" i="5"/>
  <c r="AF31" i="5"/>
  <c r="BB31" i="5"/>
  <c r="BA44" i="5"/>
  <c r="BR44" i="5"/>
  <c r="K34" i="7" s="1"/>
  <c r="BT32" i="5"/>
  <c r="BV32" i="5"/>
  <c r="CD32" i="5"/>
  <c r="CC32" i="5"/>
  <c r="CE32" i="5" s="1"/>
  <c r="BX32" i="5"/>
  <c r="BY32" i="5"/>
  <c r="T40" i="5"/>
  <c r="CP40" i="5"/>
  <c r="BR40" i="5"/>
  <c r="K30" i="7" s="1"/>
  <c r="AB40" i="5"/>
  <c r="CM40" i="5"/>
  <c r="N33" i="5"/>
  <c r="BW33" i="5"/>
  <c r="BU33" i="5"/>
  <c r="BA33" i="5"/>
  <c r="AF33" i="5"/>
  <c r="AS33" i="5"/>
  <c r="BB33" i="5"/>
  <c r="N41" i="5"/>
  <c r="BW41" i="5"/>
  <c r="BU41" i="5"/>
  <c r="AF41" i="5"/>
  <c r="BB41" i="5"/>
  <c r="BA41" i="5"/>
  <c r="AS41" i="5"/>
  <c r="BV41" i="5"/>
  <c r="BT41" i="5"/>
  <c r="BY41" i="5"/>
  <c r="CD41" i="5"/>
  <c r="CC41" i="5"/>
  <c r="CE41" i="5" s="1"/>
  <c r="BX41" i="5"/>
  <c r="CP42" i="5"/>
  <c r="CM42" i="5"/>
  <c r="BR42" i="5"/>
  <c r="K32" i="7" s="1"/>
  <c r="AB42" i="5"/>
  <c r="R43" i="5"/>
  <c r="S43" i="5" s="1"/>
  <c r="T43" i="5" s="1"/>
  <c r="S23" i="5"/>
  <c r="T23" i="5" s="1"/>
  <c r="AA23" i="5"/>
  <c r="CP35" i="5"/>
  <c r="AB35" i="5"/>
  <c r="CM35" i="5"/>
  <c r="R18" i="4"/>
  <c r="BV24" i="5"/>
  <c r="BT24" i="5"/>
  <c r="BY24" i="5"/>
  <c r="CC24" i="5"/>
  <c r="CE24" i="5" s="1"/>
  <c r="BX24" i="5"/>
  <c r="CD24" i="5"/>
  <c r="AE24" i="5"/>
  <c r="BV28" i="5"/>
  <c r="BT28" i="5"/>
  <c r="CD28" i="5"/>
  <c r="BY28" i="5"/>
  <c r="BX28" i="5"/>
  <c r="CC28" i="5"/>
  <c r="CE28" i="5" s="1"/>
  <c r="BU16" i="5"/>
  <c r="N16" i="5"/>
  <c r="AS16" i="5"/>
  <c r="AF16" i="5"/>
  <c r="BB16" i="5"/>
  <c r="BA16" i="5"/>
  <c r="BV37" i="5"/>
  <c r="BT37" i="5"/>
  <c r="CC37" i="5"/>
  <c r="CE37" i="5" s="1"/>
  <c r="BX37" i="5"/>
  <c r="BY37" i="5"/>
  <c r="CD37" i="5"/>
  <c r="BT44" i="5"/>
  <c r="R30" i="5"/>
  <c r="S30" i="5" s="1"/>
  <c r="T30" i="5" s="1"/>
  <c r="BV17" i="5"/>
  <c r="BT17" i="5"/>
  <c r="BY17" i="5"/>
  <c r="CC17" i="5"/>
  <c r="CE17" i="5" s="1"/>
  <c r="BX17" i="5"/>
  <c r="CD17" i="5"/>
  <c r="R17" i="5"/>
  <c r="S25" i="5"/>
  <c r="T25" i="5" s="1"/>
  <c r="BU39" i="5"/>
  <c r="N39" i="5"/>
  <c r="BW39" i="5"/>
  <c r="BA39" i="5"/>
  <c r="AS39" i="5"/>
  <c r="AF39" i="5"/>
  <c r="BB39" i="5"/>
  <c r="Z39" i="5"/>
  <c r="Z31" i="5"/>
  <c r="Z25" i="5"/>
  <c r="AA25" i="5" s="1"/>
  <c r="Z17" i="5"/>
  <c r="R32" i="5"/>
  <c r="S32" i="5" s="1"/>
  <c r="T32" i="5" s="1"/>
  <c r="R40" i="5"/>
  <c r="R16" i="4"/>
  <c r="AF16" i="4"/>
  <c r="CP41" i="5"/>
  <c r="AB41" i="5"/>
  <c r="BR41" i="5"/>
  <c r="K31" i="7" s="1"/>
  <c r="CM41" i="5"/>
  <c r="S42" i="5"/>
  <c r="T42" i="5" s="1"/>
  <c r="R34" i="5"/>
  <c r="S34" i="5" s="1"/>
  <c r="T34" i="5" s="1"/>
  <c r="BV34" i="5"/>
  <c r="BT34" i="5"/>
  <c r="BY34" i="5"/>
  <c r="CC34" i="5"/>
  <c r="CE34" i="5" s="1"/>
  <c r="BX34" i="5"/>
  <c r="CD34" i="5"/>
  <c r="BU43" i="5"/>
  <c r="N43" i="5"/>
  <c r="AS43" i="5"/>
  <c r="BA43" i="5"/>
  <c r="BB43" i="5"/>
  <c r="AF43" i="5"/>
  <c r="BV19" i="5"/>
  <c r="BT19" i="5"/>
  <c r="CC19" i="5"/>
  <c r="CE19" i="5" s="1"/>
  <c r="BY19" i="5"/>
  <c r="BX19" i="5"/>
  <c r="CD19" i="5"/>
  <c r="AA19" i="5"/>
  <c r="AE23" i="5"/>
  <c r="AH23" i="5" s="1"/>
  <c r="AK23" i="5" s="1"/>
  <c r="AL23" i="5" s="1"/>
  <c r="BW27" i="5"/>
  <c r="BU27" i="5"/>
  <c r="N27" i="5"/>
  <c r="BA27" i="5"/>
  <c r="AF27" i="5"/>
  <c r="BB27" i="5"/>
  <c r="AS27" i="5"/>
  <c r="R35" i="5"/>
  <c r="R24" i="5"/>
  <c r="CP28" i="5"/>
  <c r="T28" i="5"/>
  <c r="AB28" i="5"/>
  <c r="CM28" i="5"/>
  <c r="BR28" i="5"/>
  <c r="K18" i="7" s="1"/>
  <c r="D6" i="7"/>
  <c r="BU20" i="5"/>
  <c r="N20" i="5"/>
  <c r="BW20" i="5"/>
  <c r="BA20" i="5"/>
  <c r="AF20" i="5"/>
  <c r="BB20" i="5"/>
  <c r="AS20" i="5"/>
  <c r="CP29" i="5"/>
  <c r="BR29" i="5"/>
  <c r="K19" i="7" s="1"/>
  <c r="AB29" i="5"/>
  <c r="CM29" i="5"/>
  <c r="B47" i="5"/>
  <c r="BV38" i="5"/>
  <c r="BT38" i="5"/>
  <c r="CD38" i="5"/>
  <c r="BY38" i="5"/>
  <c r="CC38" i="5"/>
  <c r="CE38" i="5" s="1"/>
  <c r="BX38" i="5"/>
  <c r="BU17" i="5"/>
  <c r="N17" i="5"/>
  <c r="BW17" i="5"/>
  <c r="BA17" i="5"/>
  <c r="AS17" i="5"/>
  <c r="AF17" i="5"/>
  <c r="BB17" i="5"/>
  <c r="S21" i="5"/>
  <c r="T21" i="5" s="1"/>
  <c r="CP31" i="5"/>
  <c r="AB31" i="5"/>
  <c r="BR31" i="5"/>
  <c r="K21" i="7" s="1"/>
  <c r="CM31" i="5"/>
  <c r="AA31" i="5"/>
  <c r="S39" i="5"/>
  <c r="T39" i="5" s="1"/>
  <c r="BU18" i="5"/>
  <c r="N18" i="5"/>
  <c r="BW18" i="5"/>
  <c r="BB18" i="5"/>
  <c r="AF18" i="5"/>
  <c r="BA18" i="5"/>
  <c r="AS18" i="5"/>
  <c r="N22" i="5"/>
  <c r="BU22" i="5"/>
  <c r="BW22" i="5"/>
  <c r="BA22" i="5"/>
  <c r="AS22" i="5"/>
  <c r="AF22" i="5"/>
  <c r="BB22" i="5"/>
  <c r="CP32" i="5"/>
  <c r="AB32" i="5"/>
  <c r="CM32" i="5"/>
  <c r="BR32" i="5"/>
  <c r="K22" i="7" s="1"/>
  <c r="S40" i="5"/>
  <c r="S33" i="5"/>
  <c r="T33" i="5" s="1"/>
  <c r="BU42" i="5"/>
  <c r="BW42" i="5"/>
  <c r="N42" i="5"/>
  <c r="BB42" i="5"/>
  <c r="AS42" i="5"/>
  <c r="AF42" i="5"/>
  <c r="BA42" i="5"/>
  <c r="AA42" i="5"/>
  <c r="AA34" i="5"/>
  <c r="R14" i="4"/>
  <c r="AF18" i="4"/>
  <c r="AG18" i="4" s="1"/>
  <c r="BW24" i="5"/>
  <c r="N24" i="5"/>
  <c r="BU24" i="5"/>
  <c r="AS24" i="5"/>
  <c r="BB24" i="5"/>
  <c r="AF24" i="5"/>
  <c r="BA24" i="5"/>
  <c r="CP36" i="5"/>
  <c r="AB36" i="5"/>
  <c r="CM36" i="5"/>
  <c r="BV20" i="5"/>
  <c r="BT20" i="5"/>
  <c r="BY20" i="5"/>
  <c r="CD20" i="5"/>
  <c r="BX20" i="5"/>
  <c r="CC20" i="5"/>
  <c r="CE20" i="5" s="1"/>
  <c r="S37" i="5"/>
  <c r="R15" i="4"/>
  <c r="AF23" i="4"/>
  <c r="CP39" i="5"/>
  <c r="CM39" i="5"/>
  <c r="AB39" i="5"/>
  <c r="BR39" i="5"/>
  <c r="K29" i="7" s="1"/>
  <c r="BY44" i="5"/>
  <c r="AF44" i="5"/>
  <c r="AA22" i="5"/>
  <c r="AE22" i="5" s="1"/>
  <c r="AH22" i="5" s="1"/>
  <c r="AK22" i="5" s="1"/>
  <c r="AL22" i="5" s="1"/>
  <c r="N40" i="5"/>
  <c r="BU40" i="5"/>
  <c r="BW40" i="5"/>
  <c r="BB40" i="5"/>
  <c r="AF40" i="5"/>
  <c r="AS40" i="5"/>
  <c r="BA40" i="5"/>
  <c r="BW26" i="5"/>
  <c r="N26" i="5"/>
  <c r="CP26" i="5"/>
  <c r="CM26" i="5"/>
  <c r="AB26" i="5"/>
  <c r="BV33" i="5"/>
  <c r="BT33" i="5"/>
  <c r="BX33" i="5"/>
  <c r="BY33" i="5"/>
  <c r="CC33" i="5"/>
  <c r="CE33" i="5" s="1"/>
  <c r="CD33" i="5"/>
  <c r="BT43" i="5"/>
  <c r="BY43" i="5"/>
  <c r="BX43" i="5"/>
  <c r="AA43" i="5"/>
  <c r="AE43" i="5" s="1"/>
  <c r="AH43" i="5" s="1"/>
  <c r="BV23" i="5"/>
  <c r="BT23" i="5"/>
  <c r="CC23" i="5"/>
  <c r="CE23" i="5" s="1"/>
  <c r="BX23" i="5"/>
  <c r="BY23" i="5"/>
  <c r="CD23" i="5"/>
  <c r="BV35" i="5"/>
  <c r="CC35" i="5"/>
  <c r="CE35" i="5" s="1"/>
  <c r="CD35" i="5"/>
  <c r="BW35" i="5"/>
  <c r="N35" i="5"/>
  <c r="AF14" i="4"/>
  <c r="AG14" i="4" s="1"/>
  <c r="S24" i="5"/>
  <c r="T24" i="5" s="1"/>
  <c r="BW28" i="5"/>
  <c r="BU28" i="5"/>
  <c r="N28" i="5"/>
  <c r="AS28" i="5"/>
  <c r="AF28" i="5"/>
  <c r="BB28" i="5"/>
  <c r="BA28" i="5"/>
  <c r="S36" i="5"/>
  <c r="T36" i="5" s="1"/>
  <c r="CP16" i="5"/>
  <c r="T16" i="5"/>
  <c r="BR16" i="5"/>
  <c r="K6" i="7" s="1"/>
  <c r="AB16" i="5"/>
  <c r="CM16" i="5"/>
  <c r="CN16" i="5" s="1"/>
  <c r="AA20" i="5"/>
  <c r="AE20" i="5" s="1"/>
  <c r="AH20" i="5" s="1"/>
  <c r="AK20" i="5" s="1"/>
  <c r="AL20" i="5" s="1"/>
  <c r="CP37" i="5"/>
  <c r="T37" i="5"/>
  <c r="CM37" i="5"/>
  <c r="AB37" i="5"/>
  <c r="BR37" i="5"/>
  <c r="K27" i="7" s="1"/>
  <c r="AA44" i="5"/>
  <c r="AE44" i="5" s="1"/>
  <c r="AH44" i="5" s="1"/>
  <c r="AA17" i="5"/>
  <c r="CP25" i="5"/>
  <c r="CM25" i="5"/>
  <c r="BR25" i="5"/>
  <c r="K15" i="7" s="1"/>
  <c r="AB25" i="5"/>
  <c r="R31" i="5"/>
  <c r="S31" i="5" s="1"/>
  <c r="T31" i="5" s="1"/>
  <c r="Z38" i="5"/>
  <c r="AA38" i="5" s="1"/>
  <c r="Z30" i="5"/>
  <c r="Z21" i="5"/>
  <c r="AK21" i="5" s="1"/>
  <c r="AL21" i="5" s="1"/>
  <c r="S18" i="5"/>
  <c r="T18" i="5" s="1"/>
  <c r="AA18" i="5"/>
  <c r="AE18" i="5" s="1"/>
  <c r="AH18" i="5" s="1"/>
  <c r="AK18" i="5" s="1"/>
  <c r="AL18" i="5" s="1"/>
  <c r="R24" i="4"/>
  <c r="N32" i="5"/>
  <c r="BW32" i="5"/>
  <c r="BU32" i="5"/>
  <c r="BA32" i="5"/>
  <c r="AF32" i="5"/>
  <c r="AS32" i="5"/>
  <c r="BB32" i="5"/>
  <c r="BT40" i="5"/>
  <c r="BV40" i="5"/>
  <c r="CD40" i="5"/>
  <c r="BY40" i="5"/>
  <c r="BX40" i="5"/>
  <c r="CC40" i="5"/>
  <c r="CE40" i="5" s="1"/>
  <c r="BV26" i="5"/>
  <c r="CC26" i="5"/>
  <c r="CE26" i="5" s="1"/>
  <c r="CD26" i="5"/>
  <c r="S26" i="5"/>
  <c r="AA33" i="5"/>
  <c r="R41" i="5"/>
  <c r="S41" i="5" s="1"/>
  <c r="T41" i="5" s="1"/>
  <c r="AA41" i="5"/>
  <c r="AE42" i="5"/>
  <c r="AH42" i="5" s="1"/>
  <c r="AK42" i="5" s="1"/>
  <c r="AL42" i="5" s="1"/>
  <c r="AF21" i="4"/>
  <c r="R25" i="4"/>
  <c r="S25" i="4" s="1"/>
  <c r="T25" i="4" s="1"/>
  <c r="AA25" i="4"/>
  <c r="AE34" i="5"/>
  <c r="R19" i="5"/>
  <c r="CP23" i="5"/>
  <c r="AB23" i="5"/>
  <c r="BR23" i="5"/>
  <c r="K13" i="7" s="1"/>
  <c r="CM23" i="5"/>
  <c r="S35" i="5"/>
  <c r="T35" i="5" s="1"/>
  <c r="X6" i="4"/>
  <c r="Q6" i="4"/>
  <c r="W6" i="4"/>
  <c r="P6" i="4"/>
  <c r="O6" i="4"/>
  <c r="N8" i="4"/>
  <c r="N6" i="4"/>
  <c r="M6" i="4"/>
  <c r="CP24" i="5"/>
  <c r="AS10" i="5"/>
  <c r="AB24" i="5"/>
  <c r="CM24" i="5"/>
  <c r="BR24" i="5"/>
  <c r="K14" i="7" s="1"/>
  <c r="BW36" i="5"/>
  <c r="N36" i="5"/>
  <c r="BT16" i="5"/>
  <c r="BY16" i="5"/>
  <c r="BX16" i="5"/>
  <c r="AA16" i="5"/>
  <c r="BV29" i="5"/>
  <c r="BT29" i="5"/>
  <c r="BX29" i="5"/>
  <c r="CD29" i="5"/>
  <c r="BY29" i="5"/>
  <c r="CC29" i="5"/>
  <c r="CE29" i="5" s="1"/>
  <c r="B35" i="7"/>
  <c r="BI45" i="5"/>
  <c r="G35" i="7"/>
  <c r="F35" i="7"/>
  <c r="T44" i="5"/>
  <c r="CP44" i="5"/>
  <c r="BU38" i="5"/>
  <c r="N38" i="5"/>
  <c r="BW38" i="5"/>
  <c r="AS38" i="5"/>
  <c r="AF38" i="5"/>
  <c r="BB38" i="5"/>
  <c r="BA38" i="5"/>
  <c r="S17" i="5"/>
  <c r="BU21" i="5"/>
  <c r="N21" i="5"/>
  <c r="BW21" i="5"/>
  <c r="AF21" i="5"/>
  <c r="BB21" i="5"/>
  <c r="BA21" i="5"/>
  <c r="AS21" i="5"/>
  <c r="BT39" i="5"/>
  <c r="BV39" i="5"/>
  <c r="CD39" i="5"/>
  <c r="BY39" i="5"/>
  <c r="BX39" i="5"/>
  <c r="CC39" i="5"/>
  <c r="CE39" i="5" s="1"/>
  <c r="BX44" i="5"/>
  <c r="Q19" i="4"/>
  <c r="R19" i="4" s="1"/>
  <c r="T22" i="5"/>
  <c r="CP22" i="5"/>
  <c r="BR22" i="5"/>
  <c r="K12" i="7" s="1"/>
  <c r="AB22" i="5"/>
  <c r="CM22" i="5"/>
  <c r="AF24" i="4"/>
  <c r="AE40" i="5"/>
  <c r="AH40" i="5" s="1"/>
  <c r="AK40" i="5" s="1"/>
  <c r="AL40" i="5" s="1"/>
  <c r="R20" i="4"/>
  <c r="AE26" i="5"/>
  <c r="AE41" i="5"/>
  <c r="AH41" i="5" s="1"/>
  <c r="AK41" i="5" s="1"/>
  <c r="AL41" i="5" s="1"/>
  <c r="BV42" i="5"/>
  <c r="BT42" i="5"/>
  <c r="BX42" i="5"/>
  <c r="CC42" i="5"/>
  <c r="CE42" i="5" s="1"/>
  <c r="CD42" i="5"/>
  <c r="BY42" i="5"/>
  <c r="R21" i="4"/>
  <c r="BW34" i="5"/>
  <c r="N34" i="5"/>
  <c r="BU34" i="5"/>
  <c r="AS34" i="5"/>
  <c r="BB34" i="5"/>
  <c r="BA34" i="5"/>
  <c r="AF34" i="5"/>
  <c r="CP43" i="5"/>
  <c r="CM43" i="5"/>
  <c r="AB43" i="5"/>
  <c r="BR43" i="5"/>
  <c r="K33" i="7" s="1"/>
  <c r="S19" i="5"/>
  <c r="T19" i="5" s="1"/>
  <c r="CP19" i="5"/>
  <c r="CM19" i="5"/>
  <c r="BR19" i="5"/>
  <c r="K9" i="7" s="1"/>
  <c r="AB19" i="5"/>
  <c r="CP27" i="5"/>
  <c r="T27" i="5"/>
  <c r="CM27" i="5"/>
  <c r="BR27" i="5"/>
  <c r="K17" i="7" s="1"/>
  <c r="AB27" i="5"/>
  <c r="AE35" i="5"/>
  <c r="AF35" i="5" s="1"/>
  <c r="AE28" i="5"/>
  <c r="AH28" i="5" s="1"/>
  <c r="AK28" i="5" s="1"/>
  <c r="AL28" i="5" s="1"/>
  <c r="AA36" i="5"/>
  <c r="AE36" i="5" s="1"/>
  <c r="AF36" i="5" s="1"/>
  <c r="BU29" i="5"/>
  <c r="N29" i="5"/>
  <c r="BW29" i="5"/>
  <c r="AF29" i="5"/>
  <c r="BB29" i="5"/>
  <c r="AS29" i="5"/>
  <c r="BA29" i="5"/>
  <c r="S29" i="5"/>
  <c r="T29" i="5" s="1"/>
  <c r="BW37" i="5"/>
  <c r="BU37" i="5"/>
  <c r="N37" i="5"/>
  <c r="AF37" i="5"/>
  <c r="AS37" i="5"/>
  <c r="BA37" i="5"/>
  <c r="BB37" i="5"/>
  <c r="AE37" i="5"/>
  <c r="AH37" i="5" s="1"/>
  <c r="AK37" i="5" s="1"/>
  <c r="AL37" i="5" s="1"/>
  <c r="AG24" i="4" l="1"/>
  <c r="AA21" i="5"/>
  <c r="AE21" i="5" s="1"/>
  <c r="AH21" i="5" s="1"/>
  <c r="AA5" i="4"/>
  <c r="AG15" i="4"/>
  <c r="AE25" i="5"/>
  <c r="AH25" i="5" s="1"/>
  <c r="AK25" i="5" s="1"/>
  <c r="AL25" i="5" s="1"/>
  <c r="AH27" i="5"/>
  <c r="AK27" i="5" s="1"/>
  <c r="AL27" i="5" s="1"/>
  <c r="AE38" i="5"/>
  <c r="AH38" i="5" s="1"/>
  <c r="AK44" i="5"/>
  <c r="AL44" i="5" s="1"/>
  <c r="S19" i="4"/>
  <c r="R5" i="4"/>
  <c r="CN26" i="5"/>
  <c r="CB34" i="5"/>
  <c r="M24" i="7" s="1"/>
  <c r="BZ34" i="5"/>
  <c r="CN35" i="5"/>
  <c r="T17" i="5"/>
  <c r="W7" i="4"/>
  <c r="W8" i="4" s="1"/>
  <c r="CB27" i="5"/>
  <c r="M17" i="7" s="1"/>
  <c r="BZ27" i="5"/>
  <c r="CB25" i="5"/>
  <c r="M15" i="7" s="1"/>
  <c r="BZ25" i="5"/>
  <c r="CB21" i="5"/>
  <c r="M11" i="7" s="1"/>
  <c r="BZ21" i="5"/>
  <c r="CN19" i="5"/>
  <c r="CN22" i="5"/>
  <c r="CB39" i="5"/>
  <c r="M29" i="7" s="1"/>
  <c r="BZ39" i="5"/>
  <c r="T26" i="5"/>
  <c r="AE17" i="5"/>
  <c r="AH17" i="5" s="1"/>
  <c r="AK17" i="5" s="1"/>
  <c r="AL17" i="5" s="1"/>
  <c r="AG20" i="4"/>
  <c r="CN29" i="5"/>
  <c r="CB19" i="5"/>
  <c r="M9" i="7" s="1"/>
  <c r="BZ19" i="5"/>
  <c r="AG16" i="4"/>
  <c r="CB37" i="5"/>
  <c r="M27" i="7" s="1"/>
  <c r="BZ37" i="5"/>
  <c r="CB28" i="5"/>
  <c r="M18" i="7" s="1"/>
  <c r="BZ28" i="5"/>
  <c r="CB24" i="5"/>
  <c r="M14" i="7" s="1"/>
  <c r="BZ24" i="5"/>
  <c r="CN30" i="5"/>
  <c r="Q5" i="4"/>
  <c r="Q7" i="4" s="1"/>
  <c r="Q8" i="4" s="1"/>
  <c r="CB30" i="5"/>
  <c r="M20" i="7" s="1"/>
  <c r="BZ30" i="5"/>
  <c r="CA37" i="5" s="1"/>
  <c r="AG22" i="4"/>
  <c r="CB18" i="5"/>
  <c r="M8" i="7" s="1"/>
  <c r="BZ18" i="5"/>
  <c r="M13" i="2"/>
  <c r="AH35" i="5"/>
  <c r="C35" i="7"/>
  <c r="CN24" i="5"/>
  <c r="AK38" i="5"/>
  <c r="AL38" i="5" s="1"/>
  <c r="CN37" i="5"/>
  <c r="CB33" i="5"/>
  <c r="M23" i="7" s="1"/>
  <c r="BZ33" i="5"/>
  <c r="CN36" i="5"/>
  <c r="CB41" i="5"/>
  <c r="M31" i="7" s="1"/>
  <c r="BZ41" i="5"/>
  <c r="CB32" i="5"/>
  <c r="M22" i="7" s="1"/>
  <c r="BZ32" i="5"/>
  <c r="L7" i="4"/>
  <c r="X7" i="4"/>
  <c r="X8" i="4" s="1"/>
  <c r="CN18" i="5"/>
  <c r="CN20" i="5"/>
  <c r="AG25" i="4"/>
  <c r="AD45" i="5"/>
  <c r="AH34" i="5"/>
  <c r="AK34" i="5" s="1"/>
  <c r="AL34" i="5" s="1"/>
  <c r="AA30" i="5"/>
  <c r="B36" i="7"/>
  <c r="G36" i="7"/>
  <c r="F36" i="7"/>
  <c r="BI46" i="5"/>
  <c r="CN41" i="5"/>
  <c r="CN38" i="5"/>
  <c r="AE16" i="5"/>
  <c r="N7" i="4"/>
  <c r="CN34" i="5"/>
  <c r="G13" i="2"/>
  <c r="CN44" i="5"/>
  <c r="AE33" i="5"/>
  <c r="AH33" i="5" s="1"/>
  <c r="AK33" i="5" s="1"/>
  <c r="AL33" i="5" s="1"/>
  <c r="CN27" i="5"/>
  <c r="CB16" i="5"/>
  <c r="BZ16" i="5"/>
  <c r="Y25" i="4"/>
  <c r="AD25" i="4" s="1"/>
  <c r="AE25" i="4" s="1"/>
  <c r="U25" i="4"/>
  <c r="Z25" i="4" s="1"/>
  <c r="AG23" i="4"/>
  <c r="CB20" i="5"/>
  <c r="M10" i="7" s="1"/>
  <c r="BZ20" i="5"/>
  <c r="AA39" i="5"/>
  <c r="CB17" i="5"/>
  <c r="M7" i="7" s="1"/>
  <c r="BZ17" i="5"/>
  <c r="CN40" i="5"/>
  <c r="CB22" i="5"/>
  <c r="M12" i="7" s="1"/>
  <c r="BZ22" i="5"/>
  <c r="CN33" i="5"/>
  <c r="CB31" i="5"/>
  <c r="M21" i="7" s="1"/>
  <c r="BZ31" i="5"/>
  <c r="CN21" i="5"/>
  <c r="AH36" i="5"/>
  <c r="Z45" i="5"/>
  <c r="AH26" i="5"/>
  <c r="CN23" i="5"/>
  <c r="CN25" i="5"/>
  <c r="CB43" i="5"/>
  <c r="M33" i="7" s="1"/>
  <c r="BZ43" i="5"/>
  <c r="AG17" i="4"/>
  <c r="AF26" i="5"/>
  <c r="CN39" i="5"/>
  <c r="CN32" i="5"/>
  <c r="B48" i="5"/>
  <c r="AE31" i="5"/>
  <c r="AH31" i="5" s="1"/>
  <c r="AK31" i="5" s="1"/>
  <c r="AL31" i="5" s="1"/>
  <c r="O7" i="4"/>
  <c r="O8" i="4" s="1"/>
  <c r="CB40" i="5"/>
  <c r="M30" i="7" s="1"/>
  <c r="BZ40" i="5"/>
  <c r="CB29" i="5"/>
  <c r="M19" i="7" s="1"/>
  <c r="BZ29" i="5"/>
  <c r="R6" i="4"/>
  <c r="V25" i="4"/>
  <c r="CN31" i="5"/>
  <c r="CN42" i="5"/>
  <c r="CN17" i="5"/>
  <c r="CN43" i="5"/>
  <c r="CB42" i="5"/>
  <c r="M32" i="7" s="1"/>
  <c r="BZ42" i="5"/>
  <c r="CB44" i="5"/>
  <c r="M34" i="7" s="1"/>
  <c r="BZ44" i="5"/>
  <c r="AG21" i="4"/>
  <c r="CB23" i="5"/>
  <c r="M13" i="7" s="1"/>
  <c r="BZ23" i="5"/>
  <c r="CB38" i="5"/>
  <c r="M28" i="7" s="1"/>
  <c r="BZ38" i="5"/>
  <c r="CN28" i="5"/>
  <c r="AH24" i="5"/>
  <c r="AK24" i="5" s="1"/>
  <c r="AL24" i="5" s="1"/>
  <c r="AE19" i="5"/>
  <c r="AH19" i="5" s="1"/>
  <c r="AK19" i="5" s="1"/>
  <c r="AL19" i="5" s="1"/>
  <c r="P7" i="4"/>
  <c r="P8" i="4" s="1"/>
  <c r="S21" i="4"/>
  <c r="T21" i="4" s="1"/>
  <c r="AG19" i="4"/>
  <c r="AE29" i="5"/>
  <c r="AH29" i="5" s="1"/>
  <c r="AK29" i="5" s="1"/>
  <c r="AL29" i="5" s="1"/>
  <c r="CA30" i="5" l="1"/>
  <c r="CA39" i="5"/>
  <c r="CA34" i="5"/>
  <c r="I14" i="1"/>
  <c r="F17" i="1" s="1"/>
  <c r="F18" i="1" s="1"/>
  <c r="C37" i="7"/>
  <c r="D37" i="7"/>
  <c r="R47" i="5"/>
  <c r="AK36" i="5"/>
  <c r="AL36" i="5" s="1"/>
  <c r="AE39" i="5"/>
  <c r="AH39" i="5" s="1"/>
  <c r="AK39" i="5" s="1"/>
  <c r="AL39" i="5" s="1"/>
  <c r="R45" i="5"/>
  <c r="AK35" i="5"/>
  <c r="AL35" i="5" s="1"/>
  <c r="CA38" i="5"/>
  <c r="M14" i="2"/>
  <c r="CA32" i="5"/>
  <c r="R7" i="4"/>
  <c r="R8" i="4" s="1"/>
  <c r="C36" i="7"/>
  <c r="Z46" i="5"/>
  <c r="AD46" i="5"/>
  <c r="D36" i="7"/>
  <c r="CA44" i="5"/>
  <c r="T19" i="4"/>
  <c r="S5" i="4"/>
  <c r="U21" i="4"/>
  <c r="Z21" i="4" s="1"/>
  <c r="Y21" i="4"/>
  <c r="AD21" i="4" s="1"/>
  <c r="AE21" i="4" s="1"/>
  <c r="G14" i="2"/>
  <c r="CP45" i="5"/>
  <c r="AB45" i="5"/>
  <c r="CM45" i="5"/>
  <c r="CN45" i="5" s="1"/>
  <c r="BR45" i="5"/>
  <c r="AA45" i="5"/>
  <c r="CA18" i="5"/>
  <c r="CA25" i="5"/>
  <c r="B37" i="7"/>
  <c r="BX47" i="5"/>
  <c r="CB47" i="5" s="1"/>
  <c r="M37" i="7" s="1"/>
  <c r="F37" i="7"/>
  <c r="CM47" i="5"/>
  <c r="AF47" i="5"/>
  <c r="Z47" i="5"/>
  <c r="BI47" i="5"/>
  <c r="AS47" i="5"/>
  <c r="AD47" i="5"/>
  <c r="BY47" i="5"/>
  <c r="G37" i="7"/>
  <c r="AB47" i="5"/>
  <c r="BB47" i="5"/>
  <c r="BA47" i="5"/>
  <c r="BR47" i="5"/>
  <c r="K37" i="7" s="1"/>
  <c r="CA29" i="5"/>
  <c r="CA23" i="5"/>
  <c r="CA27" i="5"/>
  <c r="M6" i="7"/>
  <c r="BW45" i="5"/>
  <c r="BU45" i="5"/>
  <c r="N45" i="5"/>
  <c r="BA45" i="5"/>
  <c r="AF45" i="5"/>
  <c r="AS45" i="5"/>
  <c r="BB45" i="5"/>
  <c r="V21" i="4"/>
  <c r="B49" i="5"/>
  <c r="CA17" i="5"/>
  <c r="CA24" i="5"/>
  <c r="AH16" i="5"/>
  <c r="CA40" i="5"/>
  <c r="S45" i="5"/>
  <c r="T45" i="5" s="1"/>
  <c r="CA31" i="5"/>
  <c r="CA19" i="5"/>
  <c r="CA41" i="5"/>
  <c r="AE30" i="5"/>
  <c r="AH30" i="5" s="1"/>
  <c r="AK30" i="5" s="1"/>
  <c r="AL30" i="5" s="1"/>
  <c r="D35" i="7"/>
  <c r="BV45" i="5"/>
  <c r="BT45" i="5"/>
  <c r="CC45" i="5"/>
  <c r="CE45" i="5" s="1"/>
  <c r="BX45" i="5"/>
  <c r="BY45" i="5"/>
  <c r="CD45" i="5"/>
  <c r="CA21" i="5"/>
  <c r="CA28" i="5"/>
  <c r="G17" i="1" l="1"/>
  <c r="K17" i="1" s="1"/>
  <c r="BZ47" i="5"/>
  <c r="CA47" i="5" s="1"/>
  <c r="C38" i="7"/>
  <c r="R48" i="5"/>
  <c r="S48" i="5"/>
  <c r="S47" i="5"/>
  <c r="T47" i="5" s="1"/>
  <c r="U19" i="4"/>
  <c r="Y19" i="4"/>
  <c r="T5" i="4"/>
  <c r="V19" i="4"/>
  <c r="V5" i="4" s="1"/>
  <c r="CB45" i="5"/>
  <c r="BZ45" i="5"/>
  <c r="G15" i="2"/>
  <c r="AA46" i="5"/>
  <c r="AE46" i="5" s="1"/>
  <c r="BU47" i="5"/>
  <c r="N47" i="5"/>
  <c r="AK26" i="5"/>
  <c r="R46" i="5"/>
  <c r="S46" i="5" s="1"/>
  <c r="T46" i="5" s="1"/>
  <c r="CP47" i="5"/>
  <c r="G18" i="1"/>
  <c r="N18" i="1" s="1"/>
  <c r="F19" i="1"/>
  <c r="B50" i="5"/>
  <c r="K35" i="7"/>
  <c r="AA47" i="5"/>
  <c r="AE47" i="5" s="1"/>
  <c r="AH47" i="5" s="1"/>
  <c r="M15" i="2"/>
  <c r="BV46" i="5"/>
  <c r="BT46" i="5"/>
  <c r="BX46" i="5"/>
  <c r="BY46" i="5"/>
  <c r="CD46" i="5"/>
  <c r="CC46" i="5"/>
  <c r="CE46" i="5" s="1"/>
  <c r="B38" i="7"/>
  <c r="CD48" i="5"/>
  <c r="CM48" i="5"/>
  <c r="CN48" i="5" s="1"/>
  <c r="CC48" i="5"/>
  <c r="CE48" i="5" s="1"/>
  <c r="AF48" i="5"/>
  <c r="Z48" i="5"/>
  <c r="BR48" i="5"/>
  <c r="K38" i="7" s="1"/>
  <c r="BB48" i="5"/>
  <c r="BA48" i="5"/>
  <c r="G38" i="7"/>
  <c r="AD48" i="5"/>
  <c r="F38" i="7"/>
  <c r="AS48" i="5"/>
  <c r="BX48" i="5"/>
  <c r="CB48" i="5" s="1"/>
  <c r="M38" i="7" s="1"/>
  <c r="AB48" i="5"/>
  <c r="BI48" i="5"/>
  <c r="BY48" i="5"/>
  <c r="AE45" i="5"/>
  <c r="AH45" i="5" s="1"/>
  <c r="AK45" i="5" s="1"/>
  <c r="AL45" i="5" s="1"/>
  <c r="BW46" i="5"/>
  <c r="BU46" i="5"/>
  <c r="N46" i="5"/>
  <c r="AF46" i="5"/>
  <c r="BB46" i="5"/>
  <c r="AS46" i="5"/>
  <c r="BA46" i="5"/>
  <c r="CP46" i="5"/>
  <c r="CM46" i="5"/>
  <c r="CN46" i="5" s="1"/>
  <c r="BR46" i="5"/>
  <c r="K36" i="7" s="1"/>
  <c r="AB46" i="5"/>
  <c r="BT47" i="5"/>
  <c r="H17" i="1"/>
  <c r="K18" i="1" l="1"/>
  <c r="N17" i="1"/>
  <c r="I17" i="1"/>
  <c r="BZ48" i="5"/>
  <c r="CA48" i="5" s="1"/>
  <c r="I18" i="1"/>
  <c r="AH46" i="5"/>
  <c r="AK46" i="5" s="1"/>
  <c r="AL46" i="5" s="1"/>
  <c r="AK47" i="5"/>
  <c r="AL47" i="5" s="1"/>
  <c r="D38" i="7"/>
  <c r="B51" i="5"/>
  <c r="CA45" i="5"/>
  <c r="L16" i="3"/>
  <c r="CB46" i="5"/>
  <c r="M36" i="7" s="1"/>
  <c r="BZ46" i="5"/>
  <c r="CA46" i="5" s="1"/>
  <c r="AL26" i="5"/>
  <c r="AD19" i="4"/>
  <c r="AE19" i="4" s="1"/>
  <c r="Y5" i="4"/>
  <c r="BU49" i="5"/>
  <c r="AK16" i="5"/>
  <c r="M35" i="7"/>
  <c r="D39" i="7"/>
  <c r="H18" i="1"/>
  <c r="Z19" i="4"/>
  <c r="D41" i="2" s="1"/>
  <c r="U5" i="4"/>
  <c r="B39" i="7"/>
  <c r="CM49" i="5"/>
  <c r="CN49" i="5" s="1"/>
  <c r="AF49" i="5"/>
  <c r="BB49" i="5"/>
  <c r="BI49" i="5"/>
  <c r="AS49" i="5"/>
  <c r="G39" i="7"/>
  <c r="F39" i="7"/>
  <c r="BA49" i="5"/>
  <c r="C39" i="7"/>
  <c r="BW48" i="5"/>
  <c r="BU48" i="5"/>
  <c r="N48" i="5"/>
  <c r="BV48" i="5"/>
  <c r="BT48" i="5"/>
  <c r="AE48" i="5"/>
  <c r="AH48" i="5" s="1"/>
  <c r="M16" i="2"/>
  <c r="CD49" i="5"/>
  <c r="R49" i="5"/>
  <c r="F20" i="1"/>
  <c r="G19" i="1"/>
  <c r="K19" i="1" s="1"/>
  <c r="CN47" i="5"/>
  <c r="G16" i="2"/>
  <c r="CP48" i="5"/>
  <c r="T48" i="5"/>
  <c r="AA48" i="5"/>
  <c r="H19" i="1" l="1"/>
  <c r="I19" i="1"/>
  <c r="AK48" i="5"/>
  <c r="AL48" i="5" s="1"/>
  <c r="B40" i="7"/>
  <c r="BI50" i="5"/>
  <c r="G40" i="7"/>
  <c r="F40" i="7"/>
  <c r="G20" i="1"/>
  <c r="N20" i="1" s="1"/>
  <c r="F21" i="1"/>
  <c r="CP49" i="5"/>
  <c r="BX49" i="5"/>
  <c r="Z49" i="5"/>
  <c r="N19" i="1"/>
  <c r="S49" i="5"/>
  <c r="T49" i="5" s="1"/>
  <c r="AB49" i="5"/>
  <c r="N16" i="3"/>
  <c r="Z5" i="4"/>
  <c r="G41" i="2"/>
  <c r="BV49" i="5"/>
  <c r="BT49" i="5"/>
  <c r="AA49" i="5"/>
  <c r="BY49" i="5"/>
  <c r="BR49" i="5"/>
  <c r="K39" i="7" s="1"/>
  <c r="AL16" i="5"/>
  <c r="B52" i="5"/>
  <c r="G17" i="2"/>
  <c r="AD49" i="5"/>
  <c r="AE49" i="5" s="1"/>
  <c r="AH49" i="5" s="1"/>
  <c r="BW49" i="5"/>
  <c r="M16" i="3"/>
  <c r="M17" i="2"/>
  <c r="CC49" i="5"/>
  <c r="CE49" i="5" s="1"/>
  <c r="N49" i="5"/>
  <c r="K20" i="1" l="1"/>
  <c r="I20" i="1"/>
  <c r="O15" i="3"/>
  <c r="B53" i="5"/>
  <c r="C40" i="7"/>
  <c r="Z50" i="5"/>
  <c r="R50" i="5"/>
  <c r="S50" i="5"/>
  <c r="M18" i="2"/>
  <c r="B41" i="7"/>
  <c r="BI51" i="5"/>
  <c r="G41" i="7"/>
  <c r="F41" i="7"/>
  <c r="H20" i="1"/>
  <c r="AD50" i="5"/>
  <c r="G18" i="2"/>
  <c r="F22" i="1"/>
  <c r="G21" i="1"/>
  <c r="CB49" i="5"/>
  <c r="BZ49" i="5"/>
  <c r="I21" i="1" l="1"/>
  <c r="BT50" i="5"/>
  <c r="BV50" i="5"/>
  <c r="BX50" i="5"/>
  <c r="CD50" i="5"/>
  <c r="BY50" i="5"/>
  <c r="CC50" i="5"/>
  <c r="CE50" i="5" s="1"/>
  <c r="AA50" i="5"/>
  <c r="AK49" i="5"/>
  <c r="G19" i="2"/>
  <c r="G22" i="1"/>
  <c r="I22" i="1" s="1"/>
  <c r="F23" i="1"/>
  <c r="M19" i="2"/>
  <c r="B42" i="7"/>
  <c r="BI52" i="5"/>
  <c r="G42" i="7"/>
  <c r="F42" i="7"/>
  <c r="C41" i="7"/>
  <c r="D41" i="7"/>
  <c r="D40" i="7"/>
  <c r="N21" i="1"/>
  <c r="K21" i="1"/>
  <c r="CA49" i="5"/>
  <c r="T50" i="5"/>
  <c r="CP50" i="5"/>
  <c r="AB50" i="5"/>
  <c r="BR50" i="5"/>
  <c r="K40" i="7" s="1"/>
  <c r="CM50" i="5"/>
  <c r="CN50" i="5" s="1"/>
  <c r="B54" i="5"/>
  <c r="D43" i="7"/>
  <c r="M39" i="7"/>
  <c r="H21" i="1"/>
  <c r="AD51" i="5"/>
  <c r="BU50" i="5"/>
  <c r="N50" i="5"/>
  <c r="BW50" i="5"/>
  <c r="BA50" i="5"/>
  <c r="AS50" i="5"/>
  <c r="AF50" i="5"/>
  <c r="BB50" i="5"/>
  <c r="H22" i="1" l="1"/>
  <c r="L22" i="1"/>
  <c r="M22" i="1"/>
  <c r="N22" i="1"/>
  <c r="C43" i="7"/>
  <c r="Z51" i="5"/>
  <c r="AL49" i="5"/>
  <c r="CP51" i="5"/>
  <c r="CM51" i="5"/>
  <c r="CN51" i="5" s="1"/>
  <c r="AB51" i="5"/>
  <c r="BA53" i="5"/>
  <c r="AA51" i="5"/>
  <c r="AE51" i="5" s="1"/>
  <c r="AF51" i="5" s="1"/>
  <c r="O22" i="1"/>
  <c r="C42" i="7"/>
  <c r="Z52" i="5"/>
  <c r="CB50" i="5"/>
  <c r="BZ50" i="5"/>
  <c r="B43" i="7"/>
  <c r="BI53" i="5"/>
  <c r="AD53" i="5"/>
  <c r="G43" i="7"/>
  <c r="AB53" i="5"/>
  <c r="F43" i="7"/>
  <c r="Z53" i="5"/>
  <c r="BR53" i="5"/>
  <c r="K43" i="7" s="1"/>
  <c r="BB53" i="5"/>
  <c r="AF53" i="5"/>
  <c r="N51" i="5"/>
  <c r="BW51" i="5"/>
  <c r="BU51" i="5"/>
  <c r="J22" i="1"/>
  <c r="F24" i="1"/>
  <c r="G23" i="1"/>
  <c r="H23" i="1" s="1"/>
  <c r="AD52" i="5"/>
  <c r="BY53" i="5"/>
  <c r="AE50" i="5"/>
  <c r="AH50" i="5" s="1"/>
  <c r="B55" i="5"/>
  <c r="R51" i="5"/>
  <c r="S51" i="5" s="1"/>
  <c r="T51" i="5" s="1"/>
  <c r="BT51" i="5"/>
  <c r="BV51" i="5"/>
  <c r="BY51" i="5"/>
  <c r="CD51" i="5"/>
  <c r="CC51" i="5"/>
  <c r="CE51" i="5" s="1"/>
  <c r="BX51" i="5"/>
  <c r="M20" i="2"/>
  <c r="K22" i="1"/>
  <c r="G20" i="2"/>
  <c r="BX53" i="5" l="1"/>
  <c r="M40" i="7"/>
  <c r="N52" i="5"/>
  <c r="BU52" i="5"/>
  <c r="AF52" i="5"/>
  <c r="BB52" i="5"/>
  <c r="BA52" i="5"/>
  <c r="AS52" i="5"/>
  <c r="CB51" i="5"/>
  <c r="M41" i="7" s="1"/>
  <c r="BZ51" i="5"/>
  <c r="CA51" i="5" s="1"/>
  <c r="R52" i="5"/>
  <c r="D42" i="7"/>
  <c r="BT52" i="5"/>
  <c r="BX52" i="5"/>
  <c r="BY52" i="5"/>
  <c r="BU53" i="5"/>
  <c r="N53" i="5"/>
  <c r="AA53" i="5"/>
  <c r="AA52" i="5"/>
  <c r="AE52" i="5" s="1"/>
  <c r="AH52" i="5" s="1"/>
  <c r="CP53" i="5"/>
  <c r="B44" i="7"/>
  <c r="G44" i="7"/>
  <c r="F44" i="7"/>
  <c r="BI54" i="5"/>
  <c r="R53" i="5"/>
  <c r="S52" i="5"/>
  <c r="G21" i="2"/>
  <c r="I23" i="1"/>
  <c r="AH51" i="5"/>
  <c r="G24" i="1"/>
  <c r="N24" i="1" s="1"/>
  <c r="F25" i="1"/>
  <c r="S53" i="5"/>
  <c r="T53" i="5" s="1"/>
  <c r="T52" i="5"/>
  <c r="CP52" i="5"/>
  <c r="AB52" i="5"/>
  <c r="BR52" i="5"/>
  <c r="K42" i="7" s="1"/>
  <c r="CM52" i="5"/>
  <c r="CN52" i="5" s="1"/>
  <c r="AK50" i="5"/>
  <c r="M21" i="2"/>
  <c r="AE53" i="5"/>
  <c r="AH53" i="5" s="1"/>
  <c r="B56" i="5"/>
  <c r="BT53" i="5"/>
  <c r="N23" i="1"/>
  <c r="K23" i="1"/>
  <c r="CM53" i="5"/>
  <c r="AS53" i="5"/>
  <c r="CA50" i="5"/>
  <c r="K24" i="1" l="1"/>
  <c r="I24" i="1"/>
  <c r="AK53" i="5"/>
  <c r="AL53" i="5" s="1"/>
  <c r="AK52" i="5"/>
  <c r="AL52" i="5" s="1"/>
  <c r="F26" i="1"/>
  <c r="G25" i="1"/>
  <c r="K25" i="1" s="1"/>
  <c r="CB52" i="5"/>
  <c r="M42" i="7" s="1"/>
  <c r="BZ52" i="5"/>
  <c r="CA52" i="5" s="1"/>
  <c r="CB53" i="5"/>
  <c r="M43" i="7" s="1"/>
  <c r="BZ53" i="5"/>
  <c r="CA53" i="5" s="1"/>
  <c r="CN53" i="5"/>
  <c r="M22" i="2"/>
  <c r="L24" i="1"/>
  <c r="G22" i="2"/>
  <c r="B45" i="7"/>
  <c r="F45" i="7"/>
  <c r="BI55" i="5"/>
  <c r="G45" i="7"/>
  <c r="M24" i="1"/>
  <c r="AL50" i="5"/>
  <c r="H24" i="1"/>
  <c r="C44" i="7"/>
  <c r="Z54" i="5"/>
  <c r="D44" i="7"/>
  <c r="B57" i="5"/>
  <c r="O24" i="1"/>
  <c r="J24" i="1"/>
  <c r="AK51" i="5"/>
  <c r="AD54" i="5"/>
  <c r="N25" i="1" l="1"/>
  <c r="BV54" i="5"/>
  <c r="CD54" i="5"/>
  <c r="CC54" i="5"/>
  <c r="CE54" i="5" s="1"/>
  <c r="G26" i="1"/>
  <c r="H26" i="1" s="1"/>
  <c r="F27" i="1"/>
  <c r="B46" i="7"/>
  <c r="AF56" i="5"/>
  <c r="BI56" i="5"/>
  <c r="AS56" i="5"/>
  <c r="G46" i="7"/>
  <c r="F46" i="7"/>
  <c r="BB56" i="5"/>
  <c r="BA56" i="5"/>
  <c r="M23" i="2"/>
  <c r="D46" i="7"/>
  <c r="C45" i="7"/>
  <c r="Z55" i="5"/>
  <c r="AD55" i="5"/>
  <c r="R55" i="5"/>
  <c r="D45" i="7"/>
  <c r="H25" i="1"/>
  <c r="C46" i="7"/>
  <c r="R54" i="5"/>
  <c r="S54" i="5" s="1"/>
  <c r="T54" i="5" s="1"/>
  <c r="AL51" i="5"/>
  <c r="B58" i="5"/>
  <c r="CD56" i="5"/>
  <c r="CP54" i="5"/>
  <c r="CM54" i="5"/>
  <c r="CN54" i="5" s="1"/>
  <c r="AB54" i="5"/>
  <c r="I25" i="1"/>
  <c r="BW54" i="5"/>
  <c r="N54" i="5"/>
  <c r="AA54" i="5"/>
  <c r="AE54" i="5" s="1"/>
  <c r="G23" i="2"/>
  <c r="I26" i="1" l="1"/>
  <c r="N26" i="1"/>
  <c r="AF54" i="5"/>
  <c r="AH54" i="5" s="1"/>
  <c r="CP56" i="5"/>
  <c r="BX56" i="5"/>
  <c r="R56" i="5"/>
  <c r="AB56" i="5"/>
  <c r="B47" i="7"/>
  <c r="BI57" i="5"/>
  <c r="G47" i="7"/>
  <c r="F47" i="7"/>
  <c r="BV56" i="5"/>
  <c r="BT56" i="5"/>
  <c r="CP55" i="5"/>
  <c r="T55" i="5"/>
  <c r="AB55" i="5"/>
  <c r="CM55" i="5"/>
  <c r="CN55" i="5" s="1"/>
  <c r="BR55" i="5"/>
  <c r="K45" i="7" s="1"/>
  <c r="S55" i="5"/>
  <c r="AA55" i="5"/>
  <c r="BY56" i="5"/>
  <c r="CC56" i="5"/>
  <c r="CE56" i="5" s="1"/>
  <c r="F28" i="1"/>
  <c r="G27" i="1"/>
  <c r="S56" i="5"/>
  <c r="T56" i="5" s="1"/>
  <c r="B59" i="5"/>
  <c r="D48" i="7"/>
  <c r="AD56" i="5"/>
  <c r="CM56" i="5"/>
  <c r="CN56" i="5" s="1"/>
  <c r="K26" i="1"/>
  <c r="N56" i="5"/>
  <c r="BV55" i="5"/>
  <c r="BT55" i="5"/>
  <c r="CC55" i="5"/>
  <c r="CE55" i="5" s="1"/>
  <c r="BY55" i="5"/>
  <c r="BX55" i="5"/>
  <c r="CD55" i="5"/>
  <c r="M24" i="2"/>
  <c r="BU56" i="5"/>
  <c r="G24" i="2"/>
  <c r="BW55" i="5"/>
  <c r="BU55" i="5"/>
  <c r="N55" i="5"/>
  <c r="BB55" i="5"/>
  <c r="BA55" i="5"/>
  <c r="AF55" i="5"/>
  <c r="AS55" i="5"/>
  <c r="BR56" i="5"/>
  <c r="K46" i="7" s="1"/>
  <c r="Z56" i="5"/>
  <c r="BW56" i="5"/>
  <c r="AK54" i="5" l="1"/>
  <c r="AL54" i="5" s="1"/>
  <c r="H27" i="1"/>
  <c r="M25" i="2"/>
  <c r="I27" i="1"/>
  <c r="B48" i="7"/>
  <c r="BY58" i="5"/>
  <c r="BI58" i="5"/>
  <c r="BA58" i="5"/>
  <c r="G48" i="7"/>
  <c r="AB58" i="5"/>
  <c r="F48" i="7"/>
  <c r="CM58" i="5"/>
  <c r="B60" i="5"/>
  <c r="AA56" i="5"/>
  <c r="AE55" i="5"/>
  <c r="AH55" i="5" s="1"/>
  <c r="AK55" i="5" s="1"/>
  <c r="AL55" i="5" s="1"/>
  <c r="BT58" i="5"/>
  <c r="G25" i="2"/>
  <c r="R58" i="5"/>
  <c r="G28" i="1"/>
  <c r="N28" i="1" s="1"/>
  <c r="F29" i="1"/>
  <c r="AE56" i="5"/>
  <c r="AH56" i="5" s="1"/>
  <c r="AK56" i="5" s="1"/>
  <c r="AL56" i="5" s="1"/>
  <c r="C48" i="7"/>
  <c r="N27" i="1"/>
  <c r="K27" i="1"/>
  <c r="CB55" i="5"/>
  <c r="M45" i="7" s="1"/>
  <c r="BZ55" i="5"/>
  <c r="CA55" i="5" s="1"/>
  <c r="BB58" i="5"/>
  <c r="C47" i="7"/>
  <c r="Z57" i="5"/>
  <c r="AD57" i="5"/>
  <c r="D47" i="7"/>
  <c r="CB56" i="5"/>
  <c r="M46" i="7" s="1"/>
  <c r="BZ56" i="5"/>
  <c r="CA56" i="5" s="1"/>
  <c r="H28" i="1" l="1"/>
  <c r="C49" i="7"/>
  <c r="D49" i="7"/>
  <c r="R59" i="5"/>
  <c r="S59" i="5"/>
  <c r="BV57" i="5"/>
  <c r="BT57" i="5"/>
  <c r="BY57" i="5"/>
  <c r="CD57" i="5"/>
  <c r="CC57" i="5"/>
  <c r="CE57" i="5" s="1"/>
  <c r="BX57" i="5"/>
  <c r="J28" i="1"/>
  <c r="CP57" i="5"/>
  <c r="CM57" i="5"/>
  <c r="CN57" i="5" s="1"/>
  <c r="AB57" i="5"/>
  <c r="BR57" i="5"/>
  <c r="K47" i="7" s="1"/>
  <c r="K29" i="1"/>
  <c r="F30" i="1"/>
  <c r="J29" i="1"/>
  <c r="I29" i="1"/>
  <c r="P29" i="1"/>
  <c r="H29" i="1"/>
  <c r="G29" i="1"/>
  <c r="Q29" i="1" s="1"/>
  <c r="O29" i="1"/>
  <c r="N29" i="1"/>
  <c r="M29" i="1"/>
  <c r="L29" i="1"/>
  <c r="B61" i="5"/>
  <c r="K28" i="1"/>
  <c r="G26" i="2"/>
  <c r="CD58" i="5"/>
  <c r="Z58" i="5"/>
  <c r="BU57" i="5"/>
  <c r="N57" i="5"/>
  <c r="BW57" i="5"/>
  <c r="AF57" i="5"/>
  <c r="BB57" i="5"/>
  <c r="BA57" i="5"/>
  <c r="AS57" i="5"/>
  <c r="S57" i="5"/>
  <c r="T57" i="5" s="1"/>
  <c r="R57" i="5"/>
  <c r="L28" i="1"/>
  <c r="AF58" i="5"/>
  <c r="M26" i="2"/>
  <c r="S58" i="5"/>
  <c r="T58" i="5" s="1"/>
  <c r="CP58" i="5"/>
  <c r="M28" i="1"/>
  <c r="AA57" i="5"/>
  <c r="BW58" i="5"/>
  <c r="BU58" i="5"/>
  <c r="N58" i="5"/>
  <c r="I28" i="1"/>
  <c r="BR58" i="5"/>
  <c r="K48" i="7" s="1"/>
  <c r="CC58" i="5"/>
  <c r="CE58" i="5" s="1"/>
  <c r="CN58" i="5"/>
  <c r="AD58" i="5"/>
  <c r="O28" i="1"/>
  <c r="BV58" i="5"/>
  <c r="B49" i="7"/>
  <c r="BB59" i="5"/>
  <c r="BI59" i="5"/>
  <c r="AS59" i="5"/>
  <c r="BY59" i="5"/>
  <c r="G49" i="7"/>
  <c r="BX59" i="5"/>
  <c r="CB59" i="5" s="1"/>
  <c r="M49" i="7" s="1"/>
  <c r="F49" i="7"/>
  <c r="CD59" i="5"/>
  <c r="CC59" i="5"/>
  <c r="CE59" i="5" s="1"/>
  <c r="AF59" i="5"/>
  <c r="AD59" i="5"/>
  <c r="Z59" i="5"/>
  <c r="BX58" i="5"/>
  <c r="AS58" i="5"/>
  <c r="BZ59" i="5" l="1"/>
  <c r="CA59" i="5" s="1"/>
  <c r="T59" i="5"/>
  <c r="CP59" i="5"/>
  <c r="CB58" i="5"/>
  <c r="M48" i="7" s="1"/>
  <c r="BZ58" i="5"/>
  <c r="CA58" i="5" s="1"/>
  <c r="AK58" i="5"/>
  <c r="AL58" i="5" s="1"/>
  <c r="N59" i="5"/>
  <c r="BW59" i="5"/>
  <c r="BU59" i="5"/>
  <c r="CM59" i="5"/>
  <c r="CN59" i="5" s="1"/>
  <c r="B62" i="5"/>
  <c r="AA59" i="5"/>
  <c r="AA58" i="5"/>
  <c r="G27" i="2"/>
  <c r="BV59" i="5"/>
  <c r="BT59" i="5"/>
  <c r="B50" i="7"/>
  <c r="BI60" i="5"/>
  <c r="G50" i="7"/>
  <c r="F50" i="7"/>
  <c r="CB57" i="5"/>
  <c r="M47" i="7" s="1"/>
  <c r="BZ57" i="5"/>
  <c r="CA57" i="5" s="1"/>
  <c r="BA59" i="5"/>
  <c r="BR59" i="5"/>
  <c r="K49" i="7" s="1"/>
  <c r="AE58" i="5"/>
  <c r="AH58" i="5" s="1"/>
  <c r="AE59" i="5"/>
  <c r="AH59" i="5" s="1"/>
  <c r="AE57" i="5"/>
  <c r="AH57" i="5" s="1"/>
  <c r="AK57" i="5" s="1"/>
  <c r="AL57" i="5" s="1"/>
  <c r="AB59" i="5"/>
  <c r="M27" i="2"/>
  <c r="O30" i="1"/>
  <c r="G30" i="1"/>
  <c r="Q30" i="1" s="1"/>
  <c r="N30" i="1"/>
  <c r="M30" i="1"/>
  <c r="L30" i="1"/>
  <c r="K30" i="1"/>
  <c r="F31" i="1"/>
  <c r="J30" i="1"/>
  <c r="H30" i="1"/>
  <c r="I30" i="1"/>
  <c r="P30" i="1"/>
  <c r="AK59" i="5"/>
  <c r="AL59" i="5" s="1"/>
  <c r="B51" i="7" l="1"/>
  <c r="G51" i="7"/>
  <c r="F51" i="7"/>
  <c r="BI61" i="5"/>
  <c r="Z60" i="5"/>
  <c r="C50" i="7"/>
  <c r="D50" i="7"/>
  <c r="R60" i="5"/>
  <c r="AD60" i="5"/>
  <c r="B63" i="5"/>
  <c r="G28" i="2"/>
  <c r="K31" i="1"/>
  <c r="F32" i="1"/>
  <c r="J31" i="1"/>
  <c r="I31" i="1"/>
  <c r="P31" i="1"/>
  <c r="H31" i="1"/>
  <c r="G31" i="1"/>
  <c r="Q31" i="1" s="1"/>
  <c r="O31" i="1"/>
  <c r="N31" i="1"/>
  <c r="M31" i="1"/>
  <c r="L31" i="1"/>
  <c r="M28" i="2"/>
  <c r="C52" i="7" l="1"/>
  <c r="CM62" i="5"/>
  <c r="R62" i="5"/>
  <c r="D52" i="7"/>
  <c r="G29" i="2"/>
  <c r="C51" i="7"/>
  <c r="Z61" i="5"/>
  <c r="AD61" i="5"/>
  <c r="D51" i="7"/>
  <c r="M29" i="2"/>
  <c r="CP60" i="5"/>
  <c r="CM60" i="5"/>
  <c r="CN60" i="5" s="1"/>
  <c r="BR60" i="5"/>
  <c r="K50" i="7" s="1"/>
  <c r="AB60" i="5"/>
  <c r="B52" i="7"/>
  <c r="F52" i="7"/>
  <c r="CD62" i="5"/>
  <c r="CC62" i="5"/>
  <c r="CE62" i="5" s="1"/>
  <c r="Z62" i="5"/>
  <c r="BI62" i="5"/>
  <c r="G52" i="7"/>
  <c r="AB62" i="5"/>
  <c r="AD62" i="5"/>
  <c r="S60" i="5"/>
  <c r="T60" i="5" s="1"/>
  <c r="BW60" i="5"/>
  <c r="BU60" i="5"/>
  <c r="N60" i="5"/>
  <c r="BA60" i="5"/>
  <c r="AS60" i="5"/>
  <c r="AF60" i="5"/>
  <c r="BB60" i="5"/>
  <c r="O32" i="1"/>
  <c r="G32" i="1"/>
  <c r="Q32" i="1" s="1"/>
  <c r="N32" i="1"/>
  <c r="N9" i="1" s="1"/>
  <c r="M32" i="1"/>
  <c r="L32" i="1"/>
  <c r="K32" i="1"/>
  <c r="K9" i="1" s="1"/>
  <c r="J32" i="1"/>
  <c r="P32" i="1"/>
  <c r="H32" i="1"/>
  <c r="I32" i="1"/>
  <c r="I9" i="1"/>
  <c r="B64" i="5"/>
  <c r="BV60" i="5"/>
  <c r="BT60" i="5"/>
  <c r="BX60" i="5"/>
  <c r="CC60" i="5"/>
  <c r="CE60" i="5" s="1"/>
  <c r="BY60" i="5"/>
  <c r="CD60" i="5"/>
  <c r="AA60" i="5"/>
  <c r="B65" i="5" l="1"/>
  <c r="BW61" i="5"/>
  <c r="N61" i="5"/>
  <c r="CB60" i="5"/>
  <c r="M50" i="7" s="1"/>
  <c r="BZ60" i="5"/>
  <c r="CA60" i="5" s="1"/>
  <c r="AA61" i="5"/>
  <c r="AE61" i="5" s="1"/>
  <c r="CP62" i="5"/>
  <c r="S62" i="5"/>
  <c r="T62" i="5" s="1"/>
  <c r="BW62" i="5"/>
  <c r="N62" i="5"/>
  <c r="M30" i="2"/>
  <c r="CP61" i="5"/>
  <c r="AB61" i="5"/>
  <c r="CM61" i="5"/>
  <c r="CN61" i="5" s="1"/>
  <c r="AA62" i="5"/>
  <c r="AE62" i="5" s="1"/>
  <c r="AE60" i="5"/>
  <c r="AH60" i="5" s="1"/>
  <c r="AK60" i="5" s="1"/>
  <c r="AL60" i="5" s="1"/>
  <c r="BV62" i="5"/>
  <c r="B53" i="7"/>
  <c r="BI63" i="5"/>
  <c r="G53" i="7"/>
  <c r="F53" i="7"/>
  <c r="BV61" i="5"/>
  <c r="CD61" i="5"/>
  <c r="CC61" i="5"/>
  <c r="CE61" i="5" s="1"/>
  <c r="R61" i="5"/>
  <c r="S61" i="5" s="1"/>
  <c r="T61" i="5" s="1"/>
  <c r="G30" i="2"/>
  <c r="AF61" i="5" l="1"/>
  <c r="AH61" i="5" s="1"/>
  <c r="C53" i="7"/>
  <c r="D53" i="7"/>
  <c r="Z63" i="5"/>
  <c r="M31" i="2"/>
  <c r="B54" i="7"/>
  <c r="BI64" i="5"/>
  <c r="G54" i="7"/>
  <c r="F54" i="7"/>
  <c r="G31" i="2"/>
  <c r="AF62" i="5"/>
  <c r="AH62" i="5" s="1"/>
  <c r="CN62" i="5"/>
  <c r="B66" i="5"/>
  <c r="AD63" i="5"/>
  <c r="C55" i="7" l="1"/>
  <c r="R65" i="5"/>
  <c r="D55" i="7"/>
  <c r="AK62" i="5"/>
  <c r="AL62" i="5" s="1"/>
  <c r="AK61" i="5"/>
  <c r="AL61" i="5" s="1"/>
  <c r="AA63" i="5"/>
  <c r="C54" i="7"/>
  <c r="D54" i="7"/>
  <c r="BW63" i="5"/>
  <c r="BU63" i="5"/>
  <c r="N63" i="5"/>
  <c r="BA63" i="5"/>
  <c r="BB63" i="5"/>
  <c r="AF63" i="5"/>
  <c r="AS63" i="5"/>
  <c r="M32" i="2"/>
  <c r="AD64" i="5"/>
  <c r="G32" i="2"/>
  <c r="BV63" i="5"/>
  <c r="BT63" i="5"/>
  <c r="CC63" i="5"/>
  <c r="CE63" i="5" s="1"/>
  <c r="BY63" i="5"/>
  <c r="CD63" i="5"/>
  <c r="BX63" i="5"/>
  <c r="B55" i="7"/>
  <c r="CM65" i="5"/>
  <c r="CC65" i="5"/>
  <c r="CE65" i="5" s="1"/>
  <c r="Z65" i="5"/>
  <c r="BI65" i="5"/>
  <c r="AD65" i="5"/>
  <c r="G55" i="7"/>
  <c r="AB65" i="5"/>
  <c r="F55" i="7"/>
  <c r="CD65" i="5"/>
  <c r="Z64" i="5"/>
  <c r="B67" i="5"/>
  <c r="CP63" i="5"/>
  <c r="CM63" i="5"/>
  <c r="CN63" i="5" s="1"/>
  <c r="AB63" i="5"/>
  <c r="BR63" i="5"/>
  <c r="K53" i="7" s="1"/>
  <c r="R63" i="5"/>
  <c r="S63" i="5" s="1"/>
  <c r="T63" i="5" s="1"/>
  <c r="N64" i="5" l="1"/>
  <c r="BW64" i="5"/>
  <c r="AA64" i="5"/>
  <c r="B68" i="5"/>
  <c r="N65" i="5"/>
  <c r="BW65" i="5"/>
  <c r="AE63" i="5"/>
  <c r="AH63" i="5" s="1"/>
  <c r="AK63" i="5" s="1"/>
  <c r="AL63" i="5" s="1"/>
  <c r="S65" i="5"/>
  <c r="CB63" i="5"/>
  <c r="M53" i="7" s="1"/>
  <c r="BZ63" i="5"/>
  <c r="CA63" i="5" s="1"/>
  <c r="CP64" i="5"/>
  <c r="CM64" i="5"/>
  <c r="CN64" i="5" s="1"/>
  <c r="AB64" i="5"/>
  <c r="BV64" i="5"/>
  <c r="CD64" i="5"/>
  <c r="CC64" i="5"/>
  <c r="CE64" i="5" s="1"/>
  <c r="BV65" i="5"/>
  <c r="AA65" i="5"/>
  <c r="AE65" i="5" s="1"/>
  <c r="B56" i="7"/>
  <c r="BI66" i="5"/>
  <c r="G56" i="7"/>
  <c r="F56" i="7"/>
  <c r="AE64" i="5"/>
  <c r="R64" i="5"/>
  <c r="S64" i="5" s="1"/>
  <c r="T64" i="5" s="1"/>
  <c r="CP65" i="5"/>
  <c r="T65" i="5"/>
  <c r="CN65" i="5" l="1"/>
  <c r="AF65" i="5"/>
  <c r="AH65" i="5" s="1"/>
  <c r="B57" i="7"/>
  <c r="BI67" i="5"/>
  <c r="G57" i="7"/>
  <c r="F57" i="7"/>
  <c r="C56" i="7"/>
  <c r="AD66" i="5"/>
  <c r="D56" i="7"/>
  <c r="B69" i="5"/>
  <c r="Z66" i="5"/>
  <c r="AF64" i="5"/>
  <c r="AH64" i="5" s="1"/>
  <c r="AK64" i="5" l="1"/>
  <c r="AL64" i="5" s="1"/>
  <c r="C58" i="7"/>
  <c r="D58" i="7"/>
  <c r="AK65" i="5"/>
  <c r="AL65" i="5" s="1"/>
  <c r="AA66" i="5"/>
  <c r="R66" i="5"/>
  <c r="S66" i="5" s="1"/>
  <c r="T66" i="5" s="1"/>
  <c r="Z67" i="5"/>
  <c r="B70" i="5"/>
  <c r="BT66" i="5"/>
  <c r="BV66" i="5"/>
  <c r="CC66" i="5"/>
  <c r="CE66" i="5" s="1"/>
  <c r="BX66" i="5"/>
  <c r="BY66" i="5"/>
  <c r="CD66" i="5"/>
  <c r="CP66" i="5"/>
  <c r="AB66" i="5"/>
  <c r="CM66" i="5"/>
  <c r="CN66" i="5" s="1"/>
  <c r="BR66" i="5"/>
  <c r="K56" i="7" s="1"/>
  <c r="C57" i="7"/>
  <c r="AD67" i="5"/>
  <c r="D57" i="7"/>
  <c r="N66" i="5"/>
  <c r="BW66" i="5"/>
  <c r="BU66" i="5"/>
  <c r="AS66" i="5"/>
  <c r="BA66" i="5"/>
  <c r="BB66" i="5"/>
  <c r="AF66" i="5"/>
  <c r="B58" i="7"/>
  <c r="BI68" i="5"/>
  <c r="BA68" i="5"/>
  <c r="AS68" i="5"/>
  <c r="AD68" i="5"/>
  <c r="G58" i="7"/>
  <c r="AB68" i="5"/>
  <c r="F58" i="7"/>
  <c r="AF68" i="5"/>
  <c r="BR68" i="5"/>
  <c r="K58" i="7" s="1"/>
  <c r="CM68" i="5"/>
  <c r="Z68" i="5"/>
  <c r="BB68" i="5"/>
  <c r="CP67" i="5" l="1"/>
  <c r="CM67" i="5"/>
  <c r="CN67" i="5" s="1"/>
  <c r="BR67" i="5"/>
  <c r="K57" i="7" s="1"/>
  <c r="AB67" i="5"/>
  <c r="AA67" i="5"/>
  <c r="AA68" i="5"/>
  <c r="BV68" i="5"/>
  <c r="BT68" i="5"/>
  <c r="B59" i="7"/>
  <c r="G59" i="7"/>
  <c r="F59" i="7"/>
  <c r="BI69" i="5"/>
  <c r="CN68" i="5"/>
  <c r="BT67" i="5"/>
  <c r="BY67" i="5"/>
  <c r="BX67" i="5"/>
  <c r="CC68" i="5"/>
  <c r="CE68" i="5" s="1"/>
  <c r="BY68" i="5"/>
  <c r="BW68" i="5"/>
  <c r="N68" i="5"/>
  <c r="BU68" i="5"/>
  <c r="AE68" i="5"/>
  <c r="AH68" i="5" s="1"/>
  <c r="AK68" i="5" s="1"/>
  <c r="AL68" i="5" s="1"/>
  <c r="R67" i="5"/>
  <c r="S67" i="5" s="1"/>
  <c r="T67" i="5" s="1"/>
  <c r="CB66" i="5"/>
  <c r="M56" i="7" s="1"/>
  <c r="BZ66" i="5"/>
  <c r="CA66" i="5" s="1"/>
  <c r="B71" i="5"/>
  <c r="CD68" i="5"/>
  <c r="BX68" i="5"/>
  <c r="AE66" i="5"/>
  <c r="AH66" i="5" s="1"/>
  <c r="AK66" i="5" s="1"/>
  <c r="AL66" i="5" s="1"/>
  <c r="N67" i="5"/>
  <c r="BU67" i="5"/>
  <c r="AS67" i="5"/>
  <c r="BB67" i="5"/>
  <c r="BA67" i="5"/>
  <c r="AF67" i="5"/>
  <c r="CP68" i="5"/>
  <c r="R68" i="5"/>
  <c r="S68" i="5" s="1"/>
  <c r="T68" i="5" s="1"/>
  <c r="D60" i="7" l="1"/>
  <c r="CB67" i="5"/>
  <c r="M57" i="7" s="1"/>
  <c r="BZ67" i="5"/>
  <c r="CA67" i="5" s="1"/>
  <c r="C60" i="7"/>
  <c r="AB70" i="5"/>
  <c r="B60" i="7"/>
  <c r="F60" i="7"/>
  <c r="AF70" i="5"/>
  <c r="Z70" i="5"/>
  <c r="BI70" i="5"/>
  <c r="AS70" i="5"/>
  <c r="BY70" i="5"/>
  <c r="G60" i="7"/>
  <c r="BB70" i="5"/>
  <c r="BA70" i="5"/>
  <c r="AE67" i="5"/>
  <c r="AH67" i="5" s="1"/>
  <c r="C59" i="7"/>
  <c r="AD69" i="5"/>
  <c r="D59" i="7"/>
  <c r="CB68" i="5"/>
  <c r="M58" i="7" s="1"/>
  <c r="BZ68" i="5"/>
  <c r="B72" i="5"/>
  <c r="Z69" i="5"/>
  <c r="AK67" i="5" l="1"/>
  <c r="AL67" i="5" s="1"/>
  <c r="CP69" i="5"/>
  <c r="CM69" i="5"/>
  <c r="CN69" i="5" s="1"/>
  <c r="BR70" i="5"/>
  <c r="K60" i="7" s="1"/>
  <c r="CM70" i="5"/>
  <c r="BT70" i="5"/>
  <c r="BV69" i="5"/>
  <c r="BT69" i="5"/>
  <c r="BX69" i="5"/>
  <c r="CD69" i="5"/>
  <c r="CC69" i="5"/>
  <c r="CE69" i="5" s="1"/>
  <c r="BY69" i="5"/>
  <c r="AD70" i="5"/>
  <c r="BW69" i="5"/>
  <c r="BU69" i="5"/>
  <c r="N69" i="5"/>
  <c r="R69" i="5"/>
  <c r="S69" i="5" s="1"/>
  <c r="T69" i="5" s="1"/>
  <c r="B61" i="7"/>
  <c r="BI71" i="5"/>
  <c r="G61" i="7"/>
  <c r="F61" i="7"/>
  <c r="AA69" i="5"/>
  <c r="N70" i="5"/>
  <c r="BX70" i="5"/>
  <c r="R70" i="5"/>
  <c r="S70" i="5" s="1"/>
  <c r="T70" i="5" s="1"/>
  <c r="BU70" i="5"/>
  <c r="CP70" i="5"/>
  <c r="B73" i="5"/>
  <c r="AA70" i="5"/>
  <c r="C62" i="7" l="1"/>
  <c r="D62" i="7"/>
  <c r="CM72" i="5"/>
  <c r="CB70" i="5"/>
  <c r="M60" i="7" s="1"/>
  <c r="BZ70" i="5"/>
  <c r="CA70" i="5" s="1"/>
  <c r="AE70" i="5"/>
  <c r="AH70" i="5" s="1"/>
  <c r="B74" i="5"/>
  <c r="B62" i="7"/>
  <c r="Z72" i="5"/>
  <c r="F62" i="7"/>
  <c r="AD72" i="5"/>
  <c r="BI72" i="5"/>
  <c r="G62" i="7"/>
  <c r="BX72" i="5"/>
  <c r="CB72" i="5" s="1"/>
  <c r="M62" i="7" s="1"/>
  <c r="C61" i="7"/>
  <c r="Z71" i="5"/>
  <c r="AD71" i="5"/>
  <c r="D61" i="7"/>
  <c r="R71" i="5"/>
  <c r="CB69" i="5"/>
  <c r="M59" i="7" s="1"/>
  <c r="BZ69" i="5"/>
  <c r="CN70" i="5"/>
  <c r="AE69" i="5"/>
  <c r="BY72" i="5" l="1"/>
  <c r="CC72" i="5"/>
  <c r="CE72" i="5" s="1"/>
  <c r="BZ72" i="5"/>
  <c r="BU72" i="5"/>
  <c r="N72" i="5"/>
  <c r="BW72" i="5"/>
  <c r="S71" i="5"/>
  <c r="BV72" i="5"/>
  <c r="BT72" i="5"/>
  <c r="AA72" i="5"/>
  <c r="AF69" i="5"/>
  <c r="AH69" i="5" s="1"/>
  <c r="AK69" i="5" s="1"/>
  <c r="AL69" i="5" s="1"/>
  <c r="B63" i="7"/>
  <c r="F63" i="7"/>
  <c r="BI73" i="5"/>
  <c r="G63" i="7"/>
  <c r="B75" i="5"/>
  <c r="BW71" i="5"/>
  <c r="BU71" i="5"/>
  <c r="N71" i="5"/>
  <c r="BB71" i="5"/>
  <c r="AF71" i="5"/>
  <c r="AS71" i="5"/>
  <c r="BA71" i="5"/>
  <c r="AA71" i="5"/>
  <c r="CP71" i="5"/>
  <c r="T71" i="5"/>
  <c r="CM71" i="5"/>
  <c r="CN71" i="5" s="1"/>
  <c r="BR71" i="5"/>
  <c r="K61" i="7" s="1"/>
  <c r="AB71" i="5"/>
  <c r="BV71" i="5"/>
  <c r="BT71" i="5"/>
  <c r="CC71" i="5"/>
  <c r="CE71" i="5" s="1"/>
  <c r="BY71" i="5"/>
  <c r="CD71" i="5"/>
  <c r="BX71" i="5"/>
  <c r="CD72" i="5"/>
  <c r="AK70" i="5"/>
  <c r="AL70" i="5" s="1"/>
  <c r="CP72" i="5"/>
  <c r="R72" i="5"/>
  <c r="S72" i="5" s="1"/>
  <c r="T72" i="5" s="1"/>
  <c r="B76" i="5" l="1"/>
  <c r="B64" i="7"/>
  <c r="BI74" i="5"/>
  <c r="F64" i="7"/>
  <c r="G64" i="7"/>
  <c r="CB71" i="5"/>
  <c r="M61" i="7" s="1"/>
  <c r="BZ71" i="5"/>
  <c r="C63" i="7"/>
  <c r="AD73" i="5"/>
  <c r="Z73" i="5"/>
  <c r="D63" i="7"/>
  <c r="CN72" i="5"/>
  <c r="AE72" i="5"/>
  <c r="AE71" i="5"/>
  <c r="AH71" i="5" s="1"/>
  <c r="AK71" i="5" s="1"/>
  <c r="AL71" i="5" s="1"/>
  <c r="B65" i="7" l="1"/>
  <c r="BI75" i="5"/>
  <c r="G65" i="7"/>
  <c r="F65" i="7"/>
  <c r="AA73" i="5"/>
  <c r="CP73" i="5"/>
  <c r="CM73" i="5"/>
  <c r="CN73" i="5" s="1"/>
  <c r="AB73" i="5"/>
  <c r="AF72" i="5"/>
  <c r="AH72" i="5" s="1"/>
  <c r="AK72" i="5" s="1"/>
  <c r="AL72" i="5" s="1"/>
  <c r="C64" i="7"/>
  <c r="AD74" i="5"/>
  <c r="Z74" i="5"/>
  <c r="D64" i="7"/>
  <c r="R74" i="5"/>
  <c r="B77" i="5"/>
  <c r="R73" i="5"/>
  <c r="S73" i="5" s="1"/>
  <c r="T73" i="5" s="1"/>
  <c r="BV73" i="5"/>
  <c r="CD73" i="5"/>
  <c r="CC73" i="5"/>
  <c r="CE73" i="5" s="1"/>
  <c r="N73" i="5"/>
  <c r="BW73" i="5"/>
  <c r="S74" i="5" l="1"/>
  <c r="T74" i="5"/>
  <c r="CP74" i="5"/>
  <c r="CM74" i="5"/>
  <c r="CN74" i="5" s="1"/>
  <c r="AB74" i="5"/>
  <c r="N74" i="5"/>
  <c r="BU74" i="5"/>
  <c r="BW74" i="5"/>
  <c r="BT74" i="5"/>
  <c r="BV74" i="5"/>
  <c r="CD74" i="5"/>
  <c r="CC74" i="5"/>
  <c r="CE74" i="5" s="1"/>
  <c r="BY74" i="5"/>
  <c r="BX74" i="5"/>
  <c r="B66" i="7"/>
  <c r="BI76" i="5"/>
  <c r="G66" i="7"/>
  <c r="F66" i="7"/>
  <c r="B78" i="5"/>
  <c r="Z75" i="5"/>
  <c r="C65" i="7"/>
  <c r="AD75" i="5"/>
  <c r="D65" i="7"/>
  <c r="AA74" i="5"/>
  <c r="AE73" i="5"/>
  <c r="B67" i="7" l="1"/>
  <c r="G67" i="7"/>
  <c r="F67" i="7"/>
  <c r="BI77" i="5"/>
  <c r="N75" i="5"/>
  <c r="BW75" i="5"/>
  <c r="B79" i="5"/>
  <c r="BV75" i="5"/>
  <c r="CD75" i="5"/>
  <c r="CC75" i="5"/>
  <c r="CE75" i="5" s="1"/>
  <c r="C66" i="7"/>
  <c r="Z76" i="5"/>
  <c r="D66" i="7"/>
  <c r="R76" i="5"/>
  <c r="S76" i="5"/>
  <c r="R75" i="5"/>
  <c r="S75" i="5" s="1"/>
  <c r="T75" i="5" s="1"/>
  <c r="CP75" i="5"/>
  <c r="AB75" i="5"/>
  <c r="CM75" i="5"/>
  <c r="CN75" i="5" s="1"/>
  <c r="AD76" i="5"/>
  <c r="CB74" i="5"/>
  <c r="M64" i="7" s="1"/>
  <c r="BZ74" i="5"/>
  <c r="CA74" i="5" s="1"/>
  <c r="AF73" i="5"/>
  <c r="AH73" i="5" s="1"/>
  <c r="AA75" i="5"/>
  <c r="AE74" i="5"/>
  <c r="C68" i="7" l="1"/>
  <c r="D68" i="7"/>
  <c r="AK73" i="5"/>
  <c r="AL73" i="5" s="1"/>
  <c r="AA76" i="5"/>
  <c r="B80" i="5"/>
  <c r="AF74" i="5"/>
  <c r="AH74" i="5" s="1"/>
  <c r="AK74" i="5" s="1"/>
  <c r="AL74" i="5" s="1"/>
  <c r="AE76" i="5"/>
  <c r="C67" i="7"/>
  <c r="AD77" i="5"/>
  <c r="D67" i="7"/>
  <c r="BU76" i="5"/>
  <c r="N76" i="5"/>
  <c r="BW76" i="5"/>
  <c r="BA76" i="5"/>
  <c r="AS76" i="5"/>
  <c r="AF76" i="5"/>
  <c r="BB76" i="5"/>
  <c r="T76" i="5"/>
  <c r="CP76" i="5"/>
  <c r="CM76" i="5"/>
  <c r="CN76" i="5" s="1"/>
  <c r="BR76" i="5"/>
  <c r="K66" i="7" s="1"/>
  <c r="AB76" i="5"/>
  <c r="Z77" i="5"/>
  <c r="AA77" i="5" s="1"/>
  <c r="BV76" i="5"/>
  <c r="BT76" i="5"/>
  <c r="BX76" i="5"/>
  <c r="CC76" i="5"/>
  <c r="CE76" i="5" s="1"/>
  <c r="BY76" i="5"/>
  <c r="CD76" i="5"/>
  <c r="B68" i="7"/>
  <c r="F68" i="7"/>
  <c r="CD78" i="5"/>
  <c r="BI78" i="5"/>
  <c r="G68" i="7"/>
  <c r="CM78" i="5"/>
  <c r="AD78" i="5"/>
  <c r="CC78" i="5"/>
  <c r="CE78" i="5" s="1"/>
  <c r="AB78" i="5"/>
  <c r="Z78" i="5"/>
  <c r="AE75" i="5"/>
  <c r="AE77" i="5" l="1"/>
  <c r="C69" i="7"/>
  <c r="D69" i="7"/>
  <c r="CP77" i="5"/>
  <c r="BR77" i="5"/>
  <c r="K67" i="7" s="1"/>
  <c r="CM77" i="5"/>
  <c r="CN77" i="5" s="1"/>
  <c r="AB77" i="5"/>
  <c r="BV78" i="5"/>
  <c r="CB76" i="5"/>
  <c r="M66" i="7" s="1"/>
  <c r="BZ76" i="5"/>
  <c r="CA76" i="5" s="1"/>
  <c r="R77" i="5"/>
  <c r="S77" i="5" s="1"/>
  <c r="T77" i="5" s="1"/>
  <c r="AH76" i="5"/>
  <c r="AK76" i="5" s="1"/>
  <c r="AL76" i="5" s="1"/>
  <c r="R78" i="5"/>
  <c r="S78" i="5" s="1"/>
  <c r="T78" i="5" s="1"/>
  <c r="BU77" i="5"/>
  <c r="N77" i="5"/>
  <c r="AS77" i="5"/>
  <c r="BB77" i="5"/>
  <c r="AF77" i="5"/>
  <c r="AH77" i="5" s="1"/>
  <c r="BA77" i="5"/>
  <c r="CP78" i="5"/>
  <c r="AF75" i="5"/>
  <c r="AH75" i="5" s="1"/>
  <c r="AA78" i="5"/>
  <c r="AE78" i="5" s="1"/>
  <c r="BT77" i="5"/>
  <c r="BY77" i="5"/>
  <c r="BX77" i="5"/>
  <c r="B81" i="5"/>
  <c r="BW78" i="5"/>
  <c r="N78" i="5"/>
  <c r="B69" i="7"/>
  <c r="CD79" i="5"/>
  <c r="CM79" i="5"/>
  <c r="CN79" i="5" s="1"/>
  <c r="CC79" i="5"/>
  <c r="CE79" i="5" s="1"/>
  <c r="Z79" i="5"/>
  <c r="BI79" i="5"/>
  <c r="G69" i="7"/>
  <c r="F69" i="7"/>
  <c r="AB79" i="5"/>
  <c r="AD79" i="5"/>
  <c r="AK77" i="5" l="1"/>
  <c r="AL77" i="5" s="1"/>
  <c r="C70" i="7"/>
  <c r="D70" i="7"/>
  <c r="R80" i="5"/>
  <c r="S80" i="5"/>
  <c r="AF78" i="5"/>
  <c r="AH78" i="5" s="1"/>
  <c r="AK75" i="5"/>
  <c r="AL75" i="5" s="1"/>
  <c r="CB77" i="5"/>
  <c r="M67" i="7" s="1"/>
  <c r="BZ77" i="5"/>
  <c r="CA77" i="5" s="1"/>
  <c r="BV79" i="5"/>
  <c r="AA79" i="5"/>
  <c r="B12" i="6"/>
  <c r="CN78" i="5"/>
  <c r="R79" i="5"/>
  <c r="S79" i="5" s="1"/>
  <c r="T79" i="5" s="1"/>
  <c r="B70" i="7"/>
  <c r="CD80" i="5"/>
  <c r="CM80" i="5"/>
  <c r="CN80" i="5" s="1"/>
  <c r="CC80" i="5"/>
  <c r="CE80" i="5" s="1"/>
  <c r="Z80" i="5"/>
  <c r="AA80" i="5" s="1"/>
  <c r="BI80" i="5"/>
  <c r="G70" i="7"/>
  <c r="F70" i="7"/>
  <c r="AD80" i="5"/>
  <c r="AB80" i="5"/>
  <c r="AE79" i="5"/>
  <c r="B82" i="5"/>
  <c r="BW79" i="5"/>
  <c r="N79" i="5"/>
  <c r="CP79" i="5"/>
  <c r="AK78" i="5" l="1"/>
  <c r="AL78" i="5" s="1"/>
  <c r="CP80" i="5"/>
  <c r="T80" i="5"/>
  <c r="AF79" i="5"/>
  <c r="AH79" i="5" s="1"/>
  <c r="BV80" i="5"/>
  <c r="AE80" i="5"/>
  <c r="B83" i="5"/>
  <c r="B13" i="6"/>
  <c r="BW80" i="5"/>
  <c r="N80" i="5"/>
  <c r="B71" i="7"/>
  <c r="BI81" i="5"/>
  <c r="G71" i="7"/>
  <c r="F71" i="7"/>
  <c r="AK79" i="5" l="1"/>
  <c r="AL79" i="5" s="1"/>
  <c r="AF80" i="5"/>
  <c r="AH80" i="5" s="1"/>
  <c r="B72" i="7"/>
  <c r="BI82" i="5"/>
  <c r="G72" i="7"/>
  <c r="F72" i="7"/>
  <c r="B14" i="6"/>
  <c r="B84" i="5"/>
  <c r="C71" i="7"/>
  <c r="Z81" i="5"/>
  <c r="AD81" i="5"/>
  <c r="D71" i="7"/>
  <c r="R81" i="5"/>
  <c r="S81" i="5" s="1"/>
  <c r="AK80" i="5" l="1"/>
  <c r="AL80" i="5" s="1"/>
  <c r="C72" i="7"/>
  <c r="D72" i="7"/>
  <c r="R82" i="5"/>
  <c r="B73" i="7"/>
  <c r="BI83" i="5"/>
  <c r="BX83" i="5"/>
  <c r="CB83" i="5" s="1"/>
  <c r="M73" i="7" s="1"/>
  <c r="G73" i="7"/>
  <c r="F73" i="7"/>
  <c r="Z82" i="5"/>
  <c r="AA82" i="5" s="1"/>
  <c r="BV81" i="5"/>
  <c r="CC81" i="5"/>
  <c r="CE81" i="5" s="1"/>
  <c r="CD81" i="5"/>
  <c r="AA81" i="5"/>
  <c r="AE81" i="5" s="1"/>
  <c r="B85" i="5"/>
  <c r="AD82" i="5"/>
  <c r="C73" i="7"/>
  <c r="CD83" i="5"/>
  <c r="B15" i="6"/>
  <c r="CP81" i="5"/>
  <c r="T81" i="5"/>
  <c r="AB81" i="5"/>
  <c r="CM81" i="5"/>
  <c r="CN81" i="5" s="1"/>
  <c r="CM83" i="5"/>
  <c r="D73" i="7"/>
  <c r="N81" i="5"/>
  <c r="BW81" i="5"/>
  <c r="R83" i="5"/>
  <c r="AF81" i="5" l="1"/>
  <c r="AH81" i="5" s="1"/>
  <c r="C74" i="7"/>
  <c r="R84" i="5"/>
  <c r="D74" i="7"/>
  <c r="B86" i="5"/>
  <c r="BY83" i="5"/>
  <c r="AD83" i="5"/>
  <c r="CC83" i="5"/>
  <c r="CE83" i="5" s="1"/>
  <c r="BT82" i="5"/>
  <c r="BX82" i="5"/>
  <c r="BY82" i="5"/>
  <c r="B16" i="6"/>
  <c r="T83" i="5"/>
  <c r="CP83" i="5"/>
  <c r="BV83" i="5"/>
  <c r="BT83" i="5"/>
  <c r="S83" i="5"/>
  <c r="Z83" i="5"/>
  <c r="AA83" i="5" s="1"/>
  <c r="AB83" i="5"/>
  <c r="BZ83" i="5"/>
  <c r="CA83" i="5" s="1"/>
  <c r="N82" i="5"/>
  <c r="BU82" i="5"/>
  <c r="BA82" i="5"/>
  <c r="AS82" i="5"/>
  <c r="BB82" i="5"/>
  <c r="AF82" i="5"/>
  <c r="S82" i="5"/>
  <c r="T82" i="5" s="1"/>
  <c r="BU83" i="5"/>
  <c r="AE82" i="5"/>
  <c r="BW83" i="5"/>
  <c r="B74" i="7"/>
  <c r="BI84" i="5"/>
  <c r="AD84" i="5"/>
  <c r="G74" i="7"/>
  <c r="F74" i="7"/>
  <c r="Z84" i="5"/>
  <c r="CP82" i="5"/>
  <c r="BR82" i="5"/>
  <c r="K72" i="7" s="1"/>
  <c r="AB82" i="5"/>
  <c r="CM82" i="5"/>
  <c r="CN82" i="5" s="1"/>
  <c r="N83" i="5"/>
  <c r="AK81" i="5" l="1"/>
  <c r="AL81" i="5" s="1"/>
  <c r="BV84" i="5"/>
  <c r="CP84" i="5"/>
  <c r="S84" i="5"/>
  <c r="T84" i="5" s="1"/>
  <c r="AA84" i="5"/>
  <c r="AE84" i="5" s="1"/>
  <c r="N84" i="5"/>
  <c r="BW84" i="5"/>
  <c r="CD84" i="5"/>
  <c r="B17" i="6"/>
  <c r="R85" i="5"/>
  <c r="AE83" i="5"/>
  <c r="B75" i="7"/>
  <c r="G75" i="7"/>
  <c r="AB85" i="5"/>
  <c r="F75" i="7"/>
  <c r="CD85" i="5"/>
  <c r="CC85" i="5"/>
  <c r="CE85" i="5" s="1"/>
  <c r="BI85" i="5"/>
  <c r="C75" i="7"/>
  <c r="AH82" i="5"/>
  <c r="CB82" i="5"/>
  <c r="M72" i="7" s="1"/>
  <c r="BZ82" i="5"/>
  <c r="CM85" i="5"/>
  <c r="CN85" i="5" s="1"/>
  <c r="CN83" i="5"/>
  <c r="CC84" i="5"/>
  <c r="CE84" i="5" s="1"/>
  <c r="CM84" i="5"/>
  <c r="CN84" i="5" s="1"/>
  <c r="AB84" i="5"/>
  <c r="D75" i="7"/>
  <c r="B87" i="5"/>
  <c r="BV85" i="5" l="1"/>
  <c r="S85" i="5"/>
  <c r="T85" i="5" s="1"/>
  <c r="AK82" i="5"/>
  <c r="AL82" i="5" s="1"/>
  <c r="AF83" i="5"/>
  <c r="AH83" i="5" s="1"/>
  <c r="AK83" i="5" s="1"/>
  <c r="AL83" i="5" s="1"/>
  <c r="AF84" i="5"/>
  <c r="AH84" i="5" s="1"/>
  <c r="B76" i="7"/>
  <c r="F76" i="7"/>
  <c r="BI86" i="5"/>
  <c r="G76" i="7"/>
  <c r="AD85" i="5"/>
  <c r="B18" i="6"/>
  <c r="CP85" i="5"/>
  <c r="Z85" i="5"/>
  <c r="AA85" i="5" s="1"/>
  <c r="BW85" i="5"/>
  <c r="N85" i="5"/>
  <c r="B88" i="5"/>
  <c r="D77" i="7"/>
  <c r="AE85" i="5" l="1"/>
  <c r="AK84" i="5"/>
  <c r="AL84" i="5" s="1"/>
  <c r="C76" i="7"/>
  <c r="Z86" i="5"/>
  <c r="AD86" i="5"/>
  <c r="D76" i="7"/>
  <c r="S87" i="5"/>
  <c r="N87" i="5"/>
  <c r="R87" i="5"/>
  <c r="B19" i="6"/>
  <c r="B89" i="5"/>
  <c r="C77" i="7"/>
  <c r="B77" i="7"/>
  <c r="AF87" i="5"/>
  <c r="Z87" i="5"/>
  <c r="BA87" i="5"/>
  <c r="AD87" i="5"/>
  <c r="BY87" i="5"/>
  <c r="G77" i="7"/>
  <c r="F77" i="7"/>
  <c r="BX87" i="5"/>
  <c r="CB87" i="5" s="1"/>
  <c r="M77" i="7" s="1"/>
  <c r="BB87" i="5"/>
  <c r="BI87" i="5"/>
  <c r="AS87" i="5"/>
  <c r="AF85" i="5"/>
  <c r="AH85" i="5" s="1"/>
  <c r="AK85" i="5" l="1"/>
  <c r="AL85" i="5" s="1"/>
  <c r="AA87" i="5"/>
  <c r="B90" i="5"/>
  <c r="CP86" i="5"/>
  <c r="AB86" i="5"/>
  <c r="CM86" i="5"/>
  <c r="CN86" i="5" s="1"/>
  <c r="BR86" i="5"/>
  <c r="K76" i="7" s="1"/>
  <c r="AA86" i="5"/>
  <c r="CP87" i="5"/>
  <c r="T87" i="5"/>
  <c r="BZ87" i="5"/>
  <c r="B78" i="7"/>
  <c r="BI88" i="5"/>
  <c r="G78" i="7"/>
  <c r="F78" i="7"/>
  <c r="B20" i="6"/>
  <c r="N86" i="5"/>
  <c r="BU86" i="5"/>
  <c r="BA86" i="5"/>
  <c r="AF86" i="5"/>
  <c r="AS86" i="5"/>
  <c r="BB86" i="5"/>
  <c r="AB87" i="5"/>
  <c r="S86" i="5"/>
  <c r="T86" i="5" s="1"/>
  <c r="BT86" i="5"/>
  <c r="BY86" i="5"/>
  <c r="BX86" i="5"/>
  <c r="AE87" i="5"/>
  <c r="AH87" i="5" s="1"/>
  <c r="CM87" i="5"/>
  <c r="CN87" i="5" s="1"/>
  <c r="R86" i="5"/>
  <c r="BR87" i="5"/>
  <c r="K77" i="7" s="1"/>
  <c r="BT87" i="5"/>
  <c r="BU87" i="5"/>
  <c r="AK87" i="5" l="1"/>
  <c r="AL87" i="5" s="1"/>
  <c r="R89" i="5"/>
  <c r="B91" i="5"/>
  <c r="B79" i="7"/>
  <c r="BI89" i="5"/>
  <c r="G79" i="7"/>
  <c r="F79" i="7"/>
  <c r="C78" i="7"/>
  <c r="AD88" i="5"/>
  <c r="R88" i="5"/>
  <c r="D78" i="7"/>
  <c r="C79" i="7"/>
  <c r="CB86" i="5"/>
  <c r="M76" i="7" s="1"/>
  <c r="BZ86" i="5"/>
  <c r="Z88" i="5"/>
  <c r="AA88" i="5" s="1"/>
  <c r="CD89" i="5"/>
  <c r="D79" i="7"/>
  <c r="B21" i="6"/>
  <c r="S89" i="5"/>
  <c r="AE86" i="5"/>
  <c r="AH86" i="5" s="1"/>
  <c r="AE88" i="5" l="1"/>
  <c r="N89" i="5"/>
  <c r="BW89" i="5"/>
  <c r="S88" i="5"/>
  <c r="CM89" i="5"/>
  <c r="CN89" i="5" s="1"/>
  <c r="N90" i="5"/>
  <c r="D80" i="7"/>
  <c r="CP89" i="5"/>
  <c r="T89" i="5"/>
  <c r="AK86" i="5"/>
  <c r="AL86" i="5" s="1"/>
  <c r="BU88" i="5"/>
  <c r="N88" i="5"/>
  <c r="BW88" i="5"/>
  <c r="AF88" i="5"/>
  <c r="AH88" i="5" s="1"/>
  <c r="AK88" i="5" s="1"/>
  <c r="AL88" i="5" s="1"/>
  <c r="AD89" i="5"/>
  <c r="Z89" i="5"/>
  <c r="AA89" i="5" s="1"/>
  <c r="BV89" i="5"/>
  <c r="CP88" i="5"/>
  <c r="T88" i="5"/>
  <c r="CM88" i="5"/>
  <c r="CN88" i="5" s="1"/>
  <c r="CC89" i="5"/>
  <c r="CE89" i="5" s="1"/>
  <c r="B22" i="6"/>
  <c r="BV88" i="5"/>
  <c r="BT88" i="5"/>
  <c r="CD88" i="5"/>
  <c r="CC88" i="5"/>
  <c r="CE88" i="5" s="1"/>
  <c r="BY88" i="5"/>
  <c r="BX88" i="5"/>
  <c r="B92" i="5"/>
  <c r="C80" i="7"/>
  <c r="AA90" i="5"/>
  <c r="B80" i="7"/>
  <c r="BR90" i="5"/>
  <c r="K80" i="7" s="1"/>
  <c r="BB90" i="5"/>
  <c r="BI90" i="5"/>
  <c r="BA90" i="5"/>
  <c r="AS90" i="5"/>
  <c r="AD90" i="5"/>
  <c r="CD90" i="5"/>
  <c r="CC90" i="5"/>
  <c r="CE90" i="5" s="1"/>
  <c r="BY90" i="5"/>
  <c r="F80" i="7"/>
  <c r="BX90" i="5"/>
  <c r="CB90" i="5" s="1"/>
  <c r="M80" i="7" s="1"/>
  <c r="CM90" i="5"/>
  <c r="CN90" i="5" s="1"/>
  <c r="G80" i="7"/>
  <c r="AF90" i="5"/>
  <c r="Z90" i="5"/>
  <c r="AB89" i="5"/>
  <c r="R90" i="5"/>
  <c r="BZ90" i="5" l="1"/>
  <c r="CA90" i="5" s="1"/>
  <c r="BU90" i="5"/>
  <c r="S90" i="5"/>
  <c r="T90" i="5" s="1"/>
  <c r="CP90" i="5"/>
  <c r="AB90" i="5"/>
  <c r="BW90" i="5"/>
  <c r="B93" i="5"/>
  <c r="AE89" i="5"/>
  <c r="B81" i="7"/>
  <c r="BI91" i="5"/>
  <c r="G81" i="7"/>
  <c r="F81" i="7"/>
  <c r="B23" i="6"/>
  <c r="AK90" i="5"/>
  <c r="AL90" i="5" s="1"/>
  <c r="CB88" i="5"/>
  <c r="M78" i="7" s="1"/>
  <c r="BZ88" i="5"/>
  <c r="AE90" i="5"/>
  <c r="AH90" i="5" s="1"/>
  <c r="BT90" i="5"/>
  <c r="BV90" i="5"/>
  <c r="C82" i="7" l="1"/>
  <c r="D82" i="7"/>
  <c r="R92" i="5"/>
  <c r="S92" i="5"/>
  <c r="B94" i="5"/>
  <c r="B24" i="6"/>
  <c r="C81" i="7"/>
  <c r="Z91" i="5"/>
  <c r="R91" i="5"/>
  <c r="D81" i="7"/>
  <c r="S91" i="5"/>
  <c r="AF89" i="5"/>
  <c r="AH89" i="5" s="1"/>
  <c r="AD91" i="5"/>
  <c r="B82" i="7"/>
  <c r="BI92" i="5"/>
  <c r="BA92" i="5"/>
  <c r="AS92" i="5"/>
  <c r="AD92" i="5"/>
  <c r="BY92" i="5"/>
  <c r="G82" i="7"/>
  <c r="AB92" i="5"/>
  <c r="BX92" i="5"/>
  <c r="CB92" i="5" s="1"/>
  <c r="M82" i="7" s="1"/>
  <c r="F82" i="7"/>
  <c r="CD92" i="5"/>
  <c r="BR92" i="5"/>
  <c r="K82" i="7" s="1"/>
  <c r="CC92" i="5"/>
  <c r="CE92" i="5" s="1"/>
  <c r="BB92" i="5"/>
  <c r="Z92" i="5"/>
  <c r="AF92" i="5"/>
  <c r="CM92" i="5"/>
  <c r="BZ92" i="5" l="1"/>
  <c r="AK89" i="5"/>
  <c r="AL89" i="5" s="1"/>
  <c r="B83" i="7"/>
  <c r="G83" i="7"/>
  <c r="F83" i="7"/>
  <c r="BI93" i="5"/>
  <c r="AE91" i="5"/>
  <c r="AA91" i="5"/>
  <c r="T92" i="5"/>
  <c r="CP92" i="5"/>
  <c r="BW92" i="5"/>
  <c r="BU92" i="5"/>
  <c r="N92" i="5"/>
  <c r="BT91" i="5"/>
  <c r="BX91" i="5"/>
  <c r="BY91" i="5"/>
  <c r="B95" i="5"/>
  <c r="D84" i="7"/>
  <c r="BV92" i="5"/>
  <c r="BT92" i="5"/>
  <c r="CN92" i="5"/>
  <c r="B25" i="6"/>
  <c r="AA92" i="5"/>
  <c r="AE92" i="5" s="1"/>
  <c r="AH92" i="5" s="1"/>
  <c r="AK92" i="5" s="1"/>
  <c r="AL92" i="5" s="1"/>
  <c r="T91" i="5"/>
  <c r="CP91" i="5"/>
  <c r="BR91" i="5"/>
  <c r="K81" i="7" s="1"/>
  <c r="CM91" i="5"/>
  <c r="CN91" i="5" s="1"/>
  <c r="AB91" i="5"/>
  <c r="N91" i="5"/>
  <c r="BU91" i="5"/>
  <c r="BA91" i="5"/>
  <c r="AS91" i="5"/>
  <c r="BB91" i="5"/>
  <c r="AF91" i="5"/>
  <c r="AH91" i="5" l="1"/>
  <c r="R94" i="5"/>
  <c r="CC94" i="5"/>
  <c r="CE94" i="5" s="1"/>
  <c r="CB91" i="5"/>
  <c r="M81" i="7" s="1"/>
  <c r="BZ91" i="5"/>
  <c r="B26" i="6"/>
  <c r="C83" i="7"/>
  <c r="Z93" i="5"/>
  <c r="D83" i="7"/>
  <c r="R93" i="5"/>
  <c r="CM94" i="5"/>
  <c r="AD93" i="5"/>
  <c r="C84" i="7"/>
  <c r="B84" i="7"/>
  <c r="F84" i="7"/>
  <c r="G84" i="7"/>
  <c r="AB94" i="5"/>
  <c r="Z94" i="5"/>
  <c r="BI94" i="5"/>
  <c r="AD94" i="5"/>
  <c r="B96" i="5"/>
  <c r="S94" i="5"/>
  <c r="C85" i="7" l="1"/>
  <c r="D85" i="7"/>
  <c r="BV93" i="5"/>
  <c r="BT93" i="5"/>
  <c r="CC93" i="5"/>
  <c r="CE93" i="5" s="1"/>
  <c r="BY93" i="5"/>
  <c r="BX93" i="5"/>
  <c r="CD93" i="5"/>
  <c r="BW94" i="5"/>
  <c r="BU94" i="5"/>
  <c r="N94" i="5"/>
  <c r="AF94" i="5"/>
  <c r="BT94" i="5"/>
  <c r="S93" i="5"/>
  <c r="AA93" i="5"/>
  <c r="AE93" i="5" s="1"/>
  <c r="B85" i="7"/>
  <c r="CM95" i="5"/>
  <c r="CC95" i="5"/>
  <c r="CE95" i="5" s="1"/>
  <c r="AF95" i="5"/>
  <c r="Z95" i="5"/>
  <c r="BR95" i="5"/>
  <c r="K85" i="7" s="1"/>
  <c r="F85" i="7"/>
  <c r="AS95" i="5"/>
  <c r="BB95" i="5"/>
  <c r="BY95" i="5"/>
  <c r="AD95" i="5"/>
  <c r="BI95" i="5"/>
  <c r="AB95" i="5"/>
  <c r="BX95" i="5"/>
  <c r="CB95" i="5" s="1"/>
  <c r="M85" i="7" s="1"/>
  <c r="G85" i="7"/>
  <c r="BA95" i="5"/>
  <c r="AS94" i="5"/>
  <c r="AA94" i="5"/>
  <c r="AE94" i="5" s="1"/>
  <c r="CP94" i="5"/>
  <c r="T94" i="5"/>
  <c r="CD94" i="5"/>
  <c r="BX94" i="5"/>
  <c r="BV94" i="5"/>
  <c r="BY94" i="5"/>
  <c r="BR94" i="5"/>
  <c r="K84" i="7" s="1"/>
  <c r="T93" i="5"/>
  <c r="CP93" i="5"/>
  <c r="AB93" i="5"/>
  <c r="CM93" i="5"/>
  <c r="CN93" i="5" s="1"/>
  <c r="BR93" i="5"/>
  <c r="K83" i="7" s="1"/>
  <c r="B27" i="6"/>
  <c r="AK91" i="5"/>
  <c r="AL91" i="5" s="1"/>
  <c r="B97" i="5"/>
  <c r="BA94" i="5"/>
  <c r="BB94" i="5"/>
  <c r="BW93" i="5"/>
  <c r="N93" i="5"/>
  <c r="BU93" i="5"/>
  <c r="BA93" i="5"/>
  <c r="BB93" i="5"/>
  <c r="AF93" i="5"/>
  <c r="AS93" i="5"/>
  <c r="AH94" i="5" l="1"/>
  <c r="AK94" i="5" s="1"/>
  <c r="AL94" i="5" s="1"/>
  <c r="B98" i="5"/>
  <c r="B28" i="6"/>
  <c r="BW95" i="5"/>
  <c r="BU95" i="5"/>
  <c r="N95" i="5"/>
  <c r="B86" i="7"/>
  <c r="F86" i="7"/>
  <c r="G86" i="7"/>
  <c r="BI96" i="5"/>
  <c r="BZ95" i="5"/>
  <c r="CA95" i="5" s="1"/>
  <c r="AA95" i="5"/>
  <c r="CN95" i="5"/>
  <c r="CB94" i="5"/>
  <c r="M84" i="7" s="1"/>
  <c r="BZ94" i="5"/>
  <c r="CA94" i="5" s="1"/>
  <c r="BV95" i="5"/>
  <c r="BT95" i="5"/>
  <c r="AH93" i="5"/>
  <c r="AK93" i="5" s="1"/>
  <c r="AL93" i="5" s="1"/>
  <c r="CN94" i="5"/>
  <c r="AE95" i="5"/>
  <c r="AH95" i="5" s="1"/>
  <c r="AK95" i="5" s="1"/>
  <c r="AL95" i="5" s="1"/>
  <c r="CD95" i="5"/>
  <c r="CB93" i="5"/>
  <c r="M83" i="7" s="1"/>
  <c r="BZ93" i="5"/>
  <c r="CA93" i="5" s="1"/>
  <c r="CP95" i="5"/>
  <c r="R95" i="5"/>
  <c r="S95" i="5" s="1"/>
  <c r="T95" i="5" s="1"/>
  <c r="C87" i="7" l="1"/>
  <c r="R97" i="5"/>
  <c r="D87" i="7"/>
  <c r="C86" i="7"/>
  <c r="AD96" i="5"/>
  <c r="D86" i="7"/>
  <c r="R96" i="5"/>
  <c r="S96" i="5"/>
  <c r="B99" i="5"/>
  <c r="Z96" i="5"/>
  <c r="B29" i="6"/>
  <c r="B87" i="7"/>
  <c r="AF97" i="5"/>
  <c r="Z97" i="5"/>
  <c r="BR97" i="5"/>
  <c r="K87" i="7" s="1"/>
  <c r="BB97" i="5"/>
  <c r="F87" i="7"/>
  <c r="AS97" i="5"/>
  <c r="AD97" i="5"/>
  <c r="BI97" i="5"/>
  <c r="G87" i="7"/>
  <c r="BA97" i="5"/>
  <c r="CD97" i="5"/>
  <c r="AB97" i="5"/>
  <c r="BV96" i="5" l="1"/>
  <c r="BT96" i="5"/>
  <c r="CD96" i="5"/>
  <c r="BX96" i="5"/>
  <c r="CC96" i="5"/>
  <c r="CE96" i="5" s="1"/>
  <c r="BY96" i="5"/>
  <c r="BT97" i="5"/>
  <c r="BV97" i="5"/>
  <c r="CC97" i="5"/>
  <c r="CE97" i="5" s="1"/>
  <c r="BU97" i="5"/>
  <c r="N97" i="5"/>
  <c r="BW97" i="5"/>
  <c r="T96" i="5"/>
  <c r="CP96" i="5"/>
  <c r="CM96" i="5"/>
  <c r="CN96" i="5" s="1"/>
  <c r="AB96" i="5"/>
  <c r="CM97" i="5"/>
  <c r="B30" i="6"/>
  <c r="BU96" i="5"/>
  <c r="BW96" i="5"/>
  <c r="N96" i="5"/>
  <c r="AA96" i="5"/>
  <c r="B100" i="5"/>
  <c r="B88" i="7"/>
  <c r="BI98" i="5"/>
  <c r="F88" i="7"/>
  <c r="G88" i="7"/>
  <c r="S97" i="5"/>
  <c r="T97" i="5" s="1"/>
  <c r="BY97" i="5"/>
  <c r="AA97" i="5"/>
  <c r="BX97" i="5"/>
  <c r="CP97" i="5"/>
  <c r="CB96" i="5" l="1"/>
  <c r="M86" i="7" s="1"/>
  <c r="BZ96" i="5"/>
  <c r="CB97" i="5"/>
  <c r="M87" i="7" s="1"/>
  <c r="BZ97" i="5"/>
  <c r="CA97" i="5" s="1"/>
  <c r="B101" i="5"/>
  <c r="B89" i="7"/>
  <c r="BI99" i="5"/>
  <c r="G89" i="7"/>
  <c r="F89" i="7"/>
  <c r="Z98" i="5"/>
  <c r="AE97" i="5"/>
  <c r="AH97" i="5" s="1"/>
  <c r="AK97" i="5" s="1"/>
  <c r="AL97" i="5" s="1"/>
  <c r="CN97" i="5"/>
  <c r="C88" i="7"/>
  <c r="AD98" i="5"/>
  <c r="D88" i="7"/>
  <c r="R98" i="5"/>
  <c r="AE96" i="5"/>
  <c r="C90" i="7" l="1"/>
  <c r="D90" i="7"/>
  <c r="AA98" i="5"/>
  <c r="AE98" i="5" s="1"/>
  <c r="B102" i="5"/>
  <c r="AF96" i="5"/>
  <c r="AH96" i="5" s="1"/>
  <c r="AK96" i="5" s="1"/>
  <c r="AL96" i="5" s="1"/>
  <c r="C89" i="7"/>
  <c r="Z99" i="5"/>
  <c r="D89" i="7"/>
  <c r="N98" i="5"/>
  <c r="BU98" i="5"/>
  <c r="BW98" i="5"/>
  <c r="BT98" i="5"/>
  <c r="BV98" i="5"/>
  <c r="CD98" i="5"/>
  <c r="BY98" i="5"/>
  <c r="CC98" i="5"/>
  <c r="CE98" i="5" s="1"/>
  <c r="BX98" i="5"/>
  <c r="CP98" i="5"/>
  <c r="CM98" i="5"/>
  <c r="CN98" i="5" s="1"/>
  <c r="S98" i="5"/>
  <c r="T98" i="5" s="1"/>
  <c r="AD99" i="5"/>
  <c r="B90" i="7"/>
  <c r="BI100" i="5"/>
  <c r="AD100" i="5"/>
  <c r="G90" i="7"/>
  <c r="AB100" i="5"/>
  <c r="F90" i="7"/>
  <c r="CM100" i="5"/>
  <c r="CD100" i="5"/>
  <c r="CC100" i="5"/>
  <c r="CE100" i="5" s="1"/>
  <c r="Z100" i="5"/>
  <c r="AF98" i="5" l="1"/>
  <c r="AH98" i="5" s="1"/>
  <c r="AK98" i="5" s="1"/>
  <c r="AL98" i="5" s="1"/>
  <c r="CB98" i="5"/>
  <c r="M88" i="7" s="1"/>
  <c r="BZ98" i="5"/>
  <c r="CA98" i="5" s="1"/>
  <c r="R99" i="5"/>
  <c r="CP100" i="5"/>
  <c r="B91" i="7"/>
  <c r="G91" i="7"/>
  <c r="F91" i="7"/>
  <c r="BI101" i="5"/>
  <c r="N100" i="5"/>
  <c r="BW100" i="5"/>
  <c r="R100" i="5"/>
  <c r="AA99" i="5"/>
  <c r="AE99" i="5" s="1"/>
  <c r="AF99" i="5" s="1"/>
  <c r="B103" i="5"/>
  <c r="BV100" i="5"/>
  <c r="CP99" i="5"/>
  <c r="CM99" i="5"/>
  <c r="CN99" i="5" s="1"/>
  <c r="AB99" i="5"/>
  <c r="S100" i="5"/>
  <c r="T100" i="5" s="1"/>
  <c r="AA100" i="5"/>
  <c r="S99" i="5"/>
  <c r="T99" i="5" s="1"/>
  <c r="BV99" i="5"/>
  <c r="BT99" i="5"/>
  <c r="BX99" i="5"/>
  <c r="BY99" i="5"/>
  <c r="CD99" i="5"/>
  <c r="CC99" i="5"/>
  <c r="CE99" i="5" s="1"/>
  <c r="AE100" i="5"/>
  <c r="N99" i="5"/>
  <c r="BU99" i="5"/>
  <c r="BW99" i="5"/>
  <c r="CN100" i="5" l="1"/>
  <c r="B92" i="7"/>
  <c r="F92" i="7"/>
  <c r="BI102" i="5"/>
  <c r="G92" i="7"/>
  <c r="B104" i="5"/>
  <c r="C91" i="7"/>
  <c r="AD101" i="5"/>
  <c r="Z101" i="5"/>
  <c r="R101" i="5"/>
  <c r="D91" i="7"/>
  <c r="AF100" i="5"/>
  <c r="AH100" i="5" s="1"/>
  <c r="AH99" i="5"/>
  <c r="AK99" i="5" s="1"/>
  <c r="AL99" i="5" s="1"/>
  <c r="CB99" i="5"/>
  <c r="M89" i="7" s="1"/>
  <c r="BZ99" i="5"/>
  <c r="CA99" i="5" s="1"/>
  <c r="AK100" i="5" l="1"/>
  <c r="AL100" i="5" s="1"/>
  <c r="BW101" i="5"/>
  <c r="N101" i="5"/>
  <c r="CP101" i="5"/>
  <c r="CM101" i="5"/>
  <c r="CN101" i="5" s="1"/>
  <c r="AB101" i="5"/>
  <c r="B93" i="7"/>
  <c r="BI103" i="5"/>
  <c r="G93" i="7"/>
  <c r="F93" i="7"/>
  <c r="AA101" i="5"/>
  <c r="BV101" i="5"/>
  <c r="CD101" i="5"/>
  <c r="CC101" i="5"/>
  <c r="CE101" i="5" s="1"/>
  <c r="B105" i="5"/>
  <c r="C92" i="7"/>
  <c r="Z102" i="5"/>
  <c r="AD102" i="5"/>
  <c r="R102" i="5"/>
  <c r="D92" i="7"/>
  <c r="S101" i="5"/>
  <c r="T101" i="5" s="1"/>
  <c r="C93" i="7" l="1"/>
  <c r="R103" i="5"/>
  <c r="S103" i="5" s="1"/>
  <c r="D93" i="7"/>
  <c r="S102" i="5"/>
  <c r="T102" i="5" s="1"/>
  <c r="AA102" i="5"/>
  <c r="AD103" i="5"/>
  <c r="Z103" i="5"/>
  <c r="AA103" i="5" s="1"/>
  <c r="BT102" i="5"/>
  <c r="BY102" i="5"/>
  <c r="BX102" i="5"/>
  <c r="BU102" i="5"/>
  <c r="N102" i="5"/>
  <c r="AF102" i="5"/>
  <c r="BB102" i="5"/>
  <c r="BA102" i="5"/>
  <c r="AS102" i="5"/>
  <c r="AE101" i="5"/>
  <c r="B94" i="7"/>
  <c r="BI104" i="5"/>
  <c r="G94" i="7"/>
  <c r="F94" i="7"/>
  <c r="CP102" i="5"/>
  <c r="CM102" i="5"/>
  <c r="CN102" i="5" s="1"/>
  <c r="AB102" i="5"/>
  <c r="BR102" i="5"/>
  <c r="K92" i="7" s="1"/>
  <c r="B106" i="5"/>
  <c r="C95" i="7" l="1"/>
  <c r="CM105" i="5"/>
  <c r="R105" i="5"/>
  <c r="D95" i="7"/>
  <c r="AE103" i="5"/>
  <c r="CP103" i="5"/>
  <c r="T103" i="5"/>
  <c r="BR103" i="5"/>
  <c r="K93" i="7" s="1"/>
  <c r="AB103" i="5"/>
  <c r="CM103" i="5"/>
  <c r="CN103" i="5" s="1"/>
  <c r="CB102" i="5"/>
  <c r="M92" i="7" s="1"/>
  <c r="BZ102" i="5"/>
  <c r="CA102" i="5" s="1"/>
  <c r="B95" i="7"/>
  <c r="Z105" i="5"/>
  <c r="BI105" i="5"/>
  <c r="G95" i="7"/>
  <c r="AD105" i="5"/>
  <c r="F95" i="7"/>
  <c r="AB105" i="5"/>
  <c r="BV103" i="5"/>
  <c r="BT103" i="5"/>
  <c r="BX103" i="5"/>
  <c r="CD103" i="5"/>
  <c r="CC103" i="5"/>
  <c r="CE103" i="5" s="1"/>
  <c r="BY103" i="5"/>
  <c r="BW103" i="5"/>
  <c r="BU103" i="5"/>
  <c r="N103" i="5"/>
  <c r="AF103" i="5"/>
  <c r="AS103" i="5"/>
  <c r="BA103" i="5"/>
  <c r="BB103" i="5"/>
  <c r="B107" i="5"/>
  <c r="C94" i="7"/>
  <c r="Z104" i="5"/>
  <c r="AD104" i="5"/>
  <c r="R104" i="5"/>
  <c r="D94" i="7"/>
  <c r="AF101" i="5"/>
  <c r="AH101" i="5" s="1"/>
  <c r="AE102" i="5"/>
  <c r="AH102" i="5" s="1"/>
  <c r="C96" i="7" l="1"/>
  <c r="CC106" i="5"/>
  <c r="CE106" i="5" s="1"/>
  <c r="R106" i="5"/>
  <c r="D96" i="7"/>
  <c r="BW104" i="5"/>
  <c r="N104" i="5"/>
  <c r="CC105" i="5"/>
  <c r="CE105" i="5" s="1"/>
  <c r="BT105" i="5"/>
  <c r="BV105" i="5"/>
  <c r="S105" i="5"/>
  <c r="T105" i="5" s="1"/>
  <c r="AK102" i="5"/>
  <c r="AL102" i="5" s="1"/>
  <c r="BU105" i="5"/>
  <c r="N105" i="5"/>
  <c r="BW105" i="5"/>
  <c r="AA104" i="5"/>
  <c r="AE104" i="5" s="1"/>
  <c r="B108" i="5"/>
  <c r="BY105" i="5"/>
  <c r="CP105" i="5"/>
  <c r="BX105" i="5"/>
  <c r="S104" i="5"/>
  <c r="T104" i="5" s="1"/>
  <c r="CD105" i="5"/>
  <c r="AS105" i="5"/>
  <c r="BB105" i="5"/>
  <c r="AF105" i="5"/>
  <c r="AK101" i="5"/>
  <c r="AL101" i="5" s="1"/>
  <c r="CP104" i="5"/>
  <c r="CM104" i="5"/>
  <c r="CN104" i="5" s="1"/>
  <c r="AB104" i="5"/>
  <c r="BA105" i="5"/>
  <c r="AH103" i="5"/>
  <c r="AK103" i="5" s="1"/>
  <c r="AL103" i="5" s="1"/>
  <c r="AA105" i="5"/>
  <c r="BV104" i="5"/>
  <c r="CC104" i="5"/>
  <c r="CE104" i="5" s="1"/>
  <c r="CD104" i="5"/>
  <c r="B96" i="7"/>
  <c r="BB106" i="5"/>
  <c r="BI106" i="5"/>
  <c r="AS106" i="5"/>
  <c r="AD106" i="5"/>
  <c r="G96" i="7"/>
  <c r="Z106" i="5"/>
  <c r="F96" i="7"/>
  <c r="AB106" i="5"/>
  <c r="CB103" i="5"/>
  <c r="M93" i="7" s="1"/>
  <c r="BZ103" i="5"/>
  <c r="CA103" i="5" s="1"/>
  <c r="BR105" i="5"/>
  <c r="K95" i="7" s="1"/>
  <c r="AF104" i="5" l="1"/>
  <c r="AH104" i="5" s="1"/>
  <c r="BX106" i="5"/>
  <c r="B97" i="7"/>
  <c r="F97" i="7"/>
  <c r="BI107" i="5"/>
  <c r="G97" i="7"/>
  <c r="N106" i="5"/>
  <c r="BW106" i="5"/>
  <c r="BU106" i="5"/>
  <c r="BT106" i="5"/>
  <c r="BV106" i="5"/>
  <c r="CD106" i="5"/>
  <c r="BY106" i="5"/>
  <c r="CP106" i="5"/>
  <c r="CB105" i="5"/>
  <c r="M95" i="7" s="1"/>
  <c r="BZ105" i="5"/>
  <c r="CA105" i="5" s="1"/>
  <c r="AE105" i="5"/>
  <c r="AH105" i="5" s="1"/>
  <c r="AK105" i="5" s="1"/>
  <c r="AL105" i="5" s="1"/>
  <c r="B109" i="5"/>
  <c r="AA106" i="5"/>
  <c r="AE106" i="5"/>
  <c r="CM106" i="5"/>
  <c r="CN106" i="5" s="1"/>
  <c r="AF106" i="5"/>
  <c r="BA106" i="5"/>
  <c r="BR106" i="5"/>
  <c r="K96" i="7" s="1"/>
  <c r="CN105" i="5"/>
  <c r="S106" i="5"/>
  <c r="T106" i="5" s="1"/>
  <c r="AH106" i="5" l="1"/>
  <c r="AK106" i="5" s="1"/>
  <c r="AL106" i="5" s="1"/>
  <c r="AK104" i="5"/>
  <c r="AL104" i="5" s="1"/>
  <c r="B98" i="7"/>
  <c r="BI108" i="5"/>
  <c r="G98" i="7"/>
  <c r="F98" i="7"/>
  <c r="CB106" i="5"/>
  <c r="M96" i="7" s="1"/>
  <c r="BZ106" i="5"/>
  <c r="CA106" i="5" s="1"/>
  <c r="C97" i="7"/>
  <c r="Z107" i="5"/>
  <c r="D97" i="7"/>
  <c r="R107" i="5"/>
  <c r="B110" i="5"/>
  <c r="AD107" i="5"/>
  <c r="B99" i="7" l="1"/>
  <c r="BI109" i="5"/>
  <c r="G99" i="7"/>
  <c r="F99" i="7"/>
  <c r="B111" i="5"/>
  <c r="BV107" i="5"/>
  <c r="BT107" i="5"/>
  <c r="CD107" i="5"/>
  <c r="BY107" i="5"/>
  <c r="CC107" i="5"/>
  <c r="CE107" i="5" s="1"/>
  <c r="BX107" i="5"/>
  <c r="S107" i="5"/>
  <c r="CP107" i="5"/>
  <c r="T107" i="5"/>
  <c r="AB107" i="5"/>
  <c r="BR107" i="5"/>
  <c r="K97" i="7" s="1"/>
  <c r="CM107" i="5"/>
  <c r="CN107" i="5" s="1"/>
  <c r="AA107" i="5"/>
  <c r="AE107" i="5" s="1"/>
  <c r="BW107" i="5"/>
  <c r="N107" i="5"/>
  <c r="BU107" i="5"/>
  <c r="AF107" i="5"/>
  <c r="BA107" i="5"/>
  <c r="BB107" i="5"/>
  <c r="AS107" i="5"/>
  <c r="C98" i="7"/>
  <c r="AD108" i="5"/>
  <c r="Z108" i="5"/>
  <c r="D98" i="7"/>
  <c r="AH107" i="5" l="1"/>
  <c r="AK107" i="5" s="1"/>
  <c r="AL107" i="5" s="1"/>
  <c r="BV108" i="5"/>
  <c r="BT108" i="5"/>
  <c r="CC108" i="5"/>
  <c r="CE108" i="5" s="1"/>
  <c r="CD108" i="5"/>
  <c r="BX108" i="5"/>
  <c r="BY108" i="5"/>
  <c r="CB107" i="5"/>
  <c r="M97" i="7" s="1"/>
  <c r="BZ107" i="5"/>
  <c r="AA108" i="5"/>
  <c r="BU108" i="5"/>
  <c r="BW108" i="5"/>
  <c r="N108" i="5"/>
  <c r="B100" i="7"/>
  <c r="BI110" i="5"/>
  <c r="G100" i="7"/>
  <c r="F100" i="7"/>
  <c r="R108" i="5"/>
  <c r="C99" i="7"/>
  <c r="AD109" i="5"/>
  <c r="Z109" i="5"/>
  <c r="D99" i="7"/>
  <c r="R109" i="5"/>
  <c r="B112" i="5"/>
  <c r="S108" i="5"/>
  <c r="T108" i="5" s="1"/>
  <c r="CP108" i="5"/>
  <c r="CM108" i="5"/>
  <c r="CN108" i="5" s="1"/>
  <c r="AB108" i="5"/>
  <c r="B101" i="7" l="1"/>
  <c r="F101" i="7"/>
  <c r="BI111" i="5"/>
  <c r="G101" i="7"/>
  <c r="BU109" i="5"/>
  <c r="N109" i="5"/>
  <c r="BW109" i="5"/>
  <c r="BA109" i="5"/>
  <c r="AS109" i="5"/>
  <c r="AF109" i="5"/>
  <c r="BB109" i="5"/>
  <c r="C100" i="7"/>
  <c r="Z110" i="5"/>
  <c r="D100" i="7"/>
  <c r="R110" i="5"/>
  <c r="AD110" i="5"/>
  <c r="CP109" i="5"/>
  <c r="CM109" i="5"/>
  <c r="CN109" i="5" s="1"/>
  <c r="AB109" i="5"/>
  <c r="BR109" i="5"/>
  <c r="K99" i="7" s="1"/>
  <c r="AA109" i="5"/>
  <c r="B113" i="5"/>
  <c r="BT109" i="5"/>
  <c r="BV109" i="5"/>
  <c r="CC109" i="5"/>
  <c r="CE109" i="5" s="1"/>
  <c r="CD109" i="5"/>
  <c r="BX109" i="5"/>
  <c r="BY109" i="5"/>
  <c r="AE108" i="5"/>
  <c r="S109" i="5"/>
  <c r="T109" i="5" s="1"/>
  <c r="CB108" i="5"/>
  <c r="M98" i="7" s="1"/>
  <c r="BZ108" i="5"/>
  <c r="C102" i="7" l="1"/>
  <c r="D102" i="7"/>
  <c r="CP110" i="5"/>
  <c r="AB110" i="5"/>
  <c r="CM110" i="5"/>
  <c r="CN110" i="5" s="1"/>
  <c r="AA110" i="5"/>
  <c r="BV110" i="5"/>
  <c r="CD110" i="5"/>
  <c r="CC110" i="5"/>
  <c r="CE110" i="5" s="1"/>
  <c r="CB109" i="5"/>
  <c r="M99" i="7" s="1"/>
  <c r="BZ109" i="5"/>
  <c r="CA109" i="5" s="1"/>
  <c r="C101" i="7"/>
  <c r="AD111" i="5"/>
  <c r="D101" i="7"/>
  <c r="R111" i="5"/>
  <c r="B114" i="5"/>
  <c r="S110" i="5"/>
  <c r="T110" i="5" s="1"/>
  <c r="AE109" i="5"/>
  <c r="AH109" i="5" s="1"/>
  <c r="AK109" i="5" s="1"/>
  <c r="AL109" i="5" s="1"/>
  <c r="B102" i="7"/>
  <c r="CD112" i="5"/>
  <c r="BI112" i="5"/>
  <c r="CC112" i="5"/>
  <c r="CE112" i="5" s="1"/>
  <c r="G102" i="7"/>
  <c r="AB112" i="5"/>
  <c r="F102" i="7"/>
  <c r="CM112" i="5"/>
  <c r="Z112" i="5"/>
  <c r="AD112" i="5"/>
  <c r="AE110" i="5"/>
  <c r="AF110" i="5" s="1"/>
  <c r="AF108" i="5"/>
  <c r="AH108" i="5" s="1"/>
  <c r="AK108" i="5" s="1"/>
  <c r="AL108" i="5" s="1"/>
  <c r="N110" i="5"/>
  <c r="BW110" i="5"/>
  <c r="Z111" i="5"/>
  <c r="AA111" i="5" l="1"/>
  <c r="BV112" i="5"/>
  <c r="BW112" i="5"/>
  <c r="N112" i="5"/>
  <c r="B103" i="7"/>
  <c r="G103" i="7"/>
  <c r="F103" i="7"/>
  <c r="BI113" i="5"/>
  <c r="R112" i="5"/>
  <c r="S112" i="5" s="1"/>
  <c r="T112" i="5" s="1"/>
  <c r="S111" i="5"/>
  <c r="CP112" i="5"/>
  <c r="AA112" i="5"/>
  <c r="AE112" i="5" s="1"/>
  <c r="CP111" i="5"/>
  <c r="T111" i="5"/>
  <c r="AB111" i="5"/>
  <c r="CM111" i="5"/>
  <c r="CN111" i="5" s="1"/>
  <c r="BR111" i="5"/>
  <c r="K101" i="7" s="1"/>
  <c r="AH110" i="5"/>
  <c r="B115" i="5"/>
  <c r="BV111" i="5"/>
  <c r="BT111" i="5"/>
  <c r="CD111" i="5"/>
  <c r="BX111" i="5"/>
  <c r="CC111" i="5"/>
  <c r="CE111" i="5" s="1"/>
  <c r="BY111" i="5"/>
  <c r="BW111" i="5"/>
  <c r="N111" i="5"/>
  <c r="BU111" i="5"/>
  <c r="AS111" i="5"/>
  <c r="BA111" i="5"/>
  <c r="BB111" i="5"/>
  <c r="AF111" i="5"/>
  <c r="CN112" i="5" l="1"/>
  <c r="AF112" i="5"/>
  <c r="AH112" i="5" s="1"/>
  <c r="B104" i="7"/>
  <c r="BI114" i="5"/>
  <c r="F104" i="7"/>
  <c r="G104" i="7"/>
  <c r="B116" i="5"/>
  <c r="CB111" i="5"/>
  <c r="M101" i="7" s="1"/>
  <c r="BZ111" i="5"/>
  <c r="C103" i="7"/>
  <c r="D103" i="7"/>
  <c r="D104" i="7"/>
  <c r="AD113" i="5"/>
  <c r="C104" i="7"/>
  <c r="R114" i="5"/>
  <c r="S114" i="5" s="1"/>
  <c r="Z113" i="5"/>
  <c r="CD114" i="5"/>
  <c r="AK110" i="5"/>
  <c r="AL110" i="5" s="1"/>
  <c r="AE111" i="5"/>
  <c r="AH111" i="5" s="1"/>
  <c r="AK111" i="5" s="1"/>
  <c r="AL111" i="5" s="1"/>
  <c r="CM114" i="5"/>
  <c r="AK112" i="5" l="1"/>
  <c r="AL112" i="5" s="1"/>
  <c r="R113" i="5"/>
  <c r="D105" i="7"/>
  <c r="CC114" i="5"/>
  <c r="CE114" i="5" s="1"/>
  <c r="N113" i="5"/>
  <c r="BW113" i="5"/>
  <c r="AA113" i="5"/>
  <c r="AE113" i="5" s="1"/>
  <c r="AF113" i="5" s="1"/>
  <c r="B105" i="7"/>
  <c r="BI115" i="5"/>
  <c r="AD115" i="5"/>
  <c r="G105" i="7"/>
  <c r="F105" i="7"/>
  <c r="R115" i="5"/>
  <c r="T114" i="5"/>
  <c r="CP114" i="5"/>
  <c r="C105" i="7"/>
  <c r="AD114" i="5"/>
  <c r="Z114" i="5"/>
  <c r="S113" i="5"/>
  <c r="T113" i="5" s="1"/>
  <c r="B117" i="5"/>
  <c r="CM115" i="5"/>
  <c r="CN115" i="5" s="1"/>
  <c r="BV114" i="5"/>
  <c r="BW114" i="5"/>
  <c r="N114" i="5"/>
  <c r="CP113" i="5"/>
  <c r="CM113" i="5"/>
  <c r="CN113" i="5" s="1"/>
  <c r="AB113" i="5"/>
  <c r="BV113" i="5"/>
  <c r="CD113" i="5"/>
  <c r="CC113" i="5"/>
  <c r="CE113" i="5" s="1"/>
  <c r="AB114" i="5"/>
  <c r="CD115" i="5"/>
  <c r="BW115" i="5" l="1"/>
  <c r="BU115" i="5"/>
  <c r="N115" i="5"/>
  <c r="S115" i="5"/>
  <c r="B118" i="5"/>
  <c r="CC115" i="5"/>
  <c r="CE115" i="5" s="1"/>
  <c r="BY115" i="5"/>
  <c r="R116" i="5"/>
  <c r="S116" i="5" s="1"/>
  <c r="D106" i="7"/>
  <c r="AH113" i="5"/>
  <c r="Z115" i="5"/>
  <c r="AA114" i="5"/>
  <c r="B106" i="7"/>
  <c r="G106" i="7"/>
  <c r="F106" i="7"/>
  <c r="AS116" i="5"/>
  <c r="BI116" i="5"/>
  <c r="BB116" i="5"/>
  <c r="BA116" i="5"/>
  <c r="AE114" i="5"/>
  <c r="BX115" i="5"/>
  <c r="CN114" i="5"/>
  <c r="C106" i="7"/>
  <c r="BT115" i="5"/>
  <c r="BV115" i="5"/>
  <c r="T115" i="5"/>
  <c r="CP115" i="5"/>
  <c r="BX116" i="5"/>
  <c r="CB116" i="5" l="1"/>
  <c r="M106" i="7" s="1"/>
  <c r="BZ116" i="5"/>
  <c r="CA116" i="5" s="1"/>
  <c r="CM116" i="5"/>
  <c r="CN116" i="5" s="1"/>
  <c r="T116" i="5"/>
  <c r="CP116" i="5"/>
  <c r="CB115" i="5"/>
  <c r="M105" i="7" s="1"/>
  <c r="BZ115" i="5"/>
  <c r="CA115" i="5" s="1"/>
  <c r="AF116" i="5"/>
  <c r="BY116" i="5"/>
  <c r="AF114" i="5"/>
  <c r="AH114" i="5" s="1"/>
  <c r="B107" i="7"/>
  <c r="F107" i="7"/>
  <c r="G107" i="7"/>
  <c r="BI117" i="5"/>
  <c r="AA115" i="5"/>
  <c r="Z116" i="5"/>
  <c r="AK113" i="5"/>
  <c r="AL113" i="5" s="1"/>
  <c r="BV116" i="5"/>
  <c r="BT116" i="5"/>
  <c r="BR116" i="5"/>
  <c r="K106" i="7" s="1"/>
  <c r="N116" i="5"/>
  <c r="BW116" i="5"/>
  <c r="BU116" i="5"/>
  <c r="AA116" i="5"/>
  <c r="CC116" i="5"/>
  <c r="CE116" i="5" s="1"/>
  <c r="AB116" i="5"/>
  <c r="B119" i="5"/>
  <c r="AD116" i="5"/>
  <c r="CD116" i="5"/>
  <c r="B108" i="7" l="1"/>
  <c r="G108" i="7"/>
  <c r="F108" i="7"/>
  <c r="BI118" i="5"/>
  <c r="B120" i="5"/>
  <c r="AK114" i="5"/>
  <c r="AL114" i="5" s="1"/>
  <c r="C107" i="7"/>
  <c r="AD117" i="5"/>
  <c r="Z117" i="5"/>
  <c r="R117" i="5"/>
  <c r="D107" i="7"/>
  <c r="AE116" i="5"/>
  <c r="AH116" i="5" s="1"/>
  <c r="AK116" i="5" s="1"/>
  <c r="AL116" i="5" s="1"/>
  <c r="AE115" i="5"/>
  <c r="CP117" i="5" l="1"/>
  <c r="BR117" i="5"/>
  <c r="K107" i="7" s="1"/>
  <c r="CM117" i="5"/>
  <c r="CN117" i="5" s="1"/>
  <c r="AB117" i="5"/>
  <c r="S117" i="5"/>
  <c r="T117" i="5" s="1"/>
  <c r="C109" i="7"/>
  <c r="B109" i="7"/>
  <c r="CM119" i="5"/>
  <c r="BX119" i="5"/>
  <c r="CB119" i="5" s="1"/>
  <c r="M109" i="7" s="1"/>
  <c r="BI119" i="5"/>
  <c r="BR119" i="5"/>
  <c r="K109" i="7" s="1"/>
  <c r="AB119" i="5"/>
  <c r="F109" i="7"/>
  <c r="G109" i="7"/>
  <c r="AA117" i="5"/>
  <c r="BW117" i="5"/>
  <c r="BU117" i="5"/>
  <c r="N117" i="5"/>
  <c r="AF117" i="5"/>
  <c r="BA117" i="5"/>
  <c r="AS117" i="5"/>
  <c r="BB117" i="5"/>
  <c r="B121" i="5"/>
  <c r="C108" i="7"/>
  <c r="Z118" i="5"/>
  <c r="AD118" i="5"/>
  <c r="R118" i="5"/>
  <c r="D108" i="7"/>
  <c r="D109" i="7"/>
  <c r="AF115" i="5"/>
  <c r="AH115" i="5" s="1"/>
  <c r="AK115" i="5" s="1"/>
  <c r="AL115" i="5" s="1"/>
  <c r="CD119" i="5"/>
  <c r="BV117" i="5"/>
  <c r="BT117" i="5"/>
  <c r="CD117" i="5"/>
  <c r="BX117" i="5"/>
  <c r="CC117" i="5"/>
  <c r="CE117" i="5" s="1"/>
  <c r="BY117" i="5"/>
  <c r="C110" i="7" l="1"/>
  <c r="D110" i="7"/>
  <c r="BZ119" i="5"/>
  <c r="BU119" i="5"/>
  <c r="N119" i="5"/>
  <c r="BW119" i="5"/>
  <c r="BB119" i="5"/>
  <c r="Z119" i="5"/>
  <c r="R119" i="5"/>
  <c r="S119" i="5" s="1"/>
  <c r="T119" i="5" s="1"/>
  <c r="CP119" i="5"/>
  <c r="AF119" i="5"/>
  <c r="BV118" i="5"/>
  <c r="CC118" i="5"/>
  <c r="CE118" i="5" s="1"/>
  <c r="CD118" i="5"/>
  <c r="BY119" i="5"/>
  <c r="AD119" i="5"/>
  <c r="CB117" i="5"/>
  <c r="M107" i="7" s="1"/>
  <c r="BZ117" i="5"/>
  <c r="B122" i="5"/>
  <c r="BV119" i="5"/>
  <c r="BT119" i="5"/>
  <c r="S118" i="5"/>
  <c r="T118" i="5" s="1"/>
  <c r="B110" i="7"/>
  <c r="AF120" i="5"/>
  <c r="BI120" i="5"/>
  <c r="G110" i="7"/>
  <c r="AB120" i="5"/>
  <c r="BA120" i="5"/>
  <c r="AS120" i="5"/>
  <c r="BB120" i="5"/>
  <c r="AD120" i="5"/>
  <c r="F110" i="7"/>
  <c r="BY120" i="5"/>
  <c r="BA119" i="5"/>
  <c r="AS119" i="5"/>
  <c r="BW118" i="5"/>
  <c r="N118" i="5"/>
  <c r="CP118" i="5"/>
  <c r="CM118" i="5"/>
  <c r="CN118" i="5" s="1"/>
  <c r="AB118" i="5"/>
  <c r="AA118" i="5"/>
  <c r="CC119" i="5"/>
  <c r="CE119" i="5" s="1"/>
  <c r="AA119" i="5"/>
  <c r="AE117" i="5"/>
  <c r="AH117" i="5" s="1"/>
  <c r="AK117" i="5" s="1"/>
  <c r="AL117" i="5" s="1"/>
  <c r="C111" i="7" l="1"/>
  <c r="D111" i="7"/>
  <c r="BA121" i="5"/>
  <c r="R121" i="5"/>
  <c r="BU120" i="5"/>
  <c r="BW120" i="5"/>
  <c r="N120" i="5"/>
  <c r="CD120" i="5"/>
  <c r="CN119" i="5"/>
  <c r="BT120" i="5"/>
  <c r="BV120" i="5"/>
  <c r="CC120" i="5"/>
  <c r="CE120" i="5" s="1"/>
  <c r="CM120" i="5"/>
  <c r="CN120" i="5" s="1"/>
  <c r="B123" i="5"/>
  <c r="T120" i="5"/>
  <c r="CP120" i="5"/>
  <c r="BX120" i="5"/>
  <c r="BR120" i="5"/>
  <c r="K110" i="7" s="1"/>
  <c r="AE119" i="5"/>
  <c r="AH119" i="5" s="1"/>
  <c r="AK119" i="5" s="1"/>
  <c r="AL119" i="5" s="1"/>
  <c r="R120" i="5"/>
  <c r="AE118" i="5"/>
  <c r="B111" i="7"/>
  <c r="BR121" i="5"/>
  <c r="K111" i="7" s="1"/>
  <c r="BB121" i="5"/>
  <c r="F111" i="7"/>
  <c r="CC121" i="5"/>
  <c r="CE121" i="5" s="1"/>
  <c r="AS121" i="5"/>
  <c r="AD121" i="5"/>
  <c r="BX121" i="5"/>
  <c r="CB121" i="5" s="1"/>
  <c r="M111" i="7" s="1"/>
  <c r="AB121" i="5"/>
  <c r="CM121" i="5"/>
  <c r="Z121" i="5"/>
  <c r="BI121" i="5"/>
  <c r="G111" i="7"/>
  <c r="AF121" i="5"/>
  <c r="BY121" i="5"/>
  <c r="Z120" i="5"/>
  <c r="S120" i="5"/>
  <c r="CN121" i="5" l="1"/>
  <c r="AA120" i="5"/>
  <c r="BT121" i="5"/>
  <c r="BV121" i="5"/>
  <c r="AE121" i="5"/>
  <c r="AH121" i="5" s="1"/>
  <c r="CB120" i="5"/>
  <c r="M110" i="7" s="1"/>
  <c r="BZ120" i="5"/>
  <c r="B112" i="7"/>
  <c r="BI122" i="5"/>
  <c r="G112" i="7"/>
  <c r="F112" i="7"/>
  <c r="AA121" i="5"/>
  <c r="BZ121" i="5"/>
  <c r="CD121" i="5"/>
  <c r="CP121" i="5"/>
  <c r="T121" i="5"/>
  <c r="AF118" i="5"/>
  <c r="AH118" i="5" s="1"/>
  <c r="S121" i="5"/>
  <c r="B124" i="5"/>
  <c r="N121" i="5"/>
  <c r="BU121" i="5"/>
  <c r="BW121" i="5"/>
  <c r="AK121" i="5"/>
  <c r="AL121" i="5" s="1"/>
  <c r="C113" i="7" l="1"/>
  <c r="R123" i="5"/>
  <c r="D113" i="7"/>
  <c r="AK118" i="5"/>
  <c r="AL118" i="5" s="1"/>
  <c r="B125" i="5"/>
  <c r="Z122" i="5"/>
  <c r="AA122" i="5" s="1"/>
  <c r="AE120" i="5"/>
  <c r="AH120" i="5" s="1"/>
  <c r="AK120" i="5" s="1"/>
  <c r="AL120" i="5" s="1"/>
  <c r="C112" i="7"/>
  <c r="D112" i="7"/>
  <c r="B113" i="7"/>
  <c r="BI123" i="5"/>
  <c r="BA123" i="5"/>
  <c r="AS123" i="5"/>
  <c r="AD123" i="5"/>
  <c r="BY123" i="5"/>
  <c r="G113" i="7"/>
  <c r="AB123" i="5"/>
  <c r="CD123" i="5"/>
  <c r="F113" i="7"/>
  <c r="CC123" i="5"/>
  <c r="CE123" i="5" s="1"/>
  <c r="BX123" i="5"/>
  <c r="CB123" i="5" s="1"/>
  <c r="M113" i="7" s="1"/>
  <c r="BB123" i="5"/>
  <c r="AF123" i="5"/>
  <c r="Z123" i="5"/>
  <c r="BR123" i="5"/>
  <c r="K113" i="7" s="1"/>
  <c r="AD122" i="5"/>
  <c r="BZ123" i="5" l="1"/>
  <c r="CA123" i="5" s="1"/>
  <c r="S123" i="5"/>
  <c r="AE122" i="5"/>
  <c r="B114" i="7"/>
  <c r="G114" i="7"/>
  <c r="F114" i="7"/>
  <c r="BI124" i="5"/>
  <c r="BV123" i="5"/>
  <c r="BT123" i="5"/>
  <c r="BT122" i="5"/>
  <c r="BX122" i="5"/>
  <c r="BY122" i="5"/>
  <c r="T123" i="5"/>
  <c r="CP123" i="5"/>
  <c r="AE123" i="5"/>
  <c r="AH123" i="5" s="1"/>
  <c r="CM123" i="5"/>
  <c r="CN123" i="5" s="1"/>
  <c r="R122" i="5"/>
  <c r="N122" i="5"/>
  <c r="BU122" i="5"/>
  <c r="BA122" i="5"/>
  <c r="AS122" i="5"/>
  <c r="BB122" i="5"/>
  <c r="AF122" i="5"/>
  <c r="B126" i="5"/>
  <c r="AA123" i="5"/>
  <c r="CP122" i="5"/>
  <c r="BR122" i="5"/>
  <c r="K112" i="7" s="1"/>
  <c r="AB122" i="5"/>
  <c r="CM122" i="5"/>
  <c r="CN122" i="5" s="1"/>
  <c r="AK123" i="5"/>
  <c r="AL123" i="5" s="1"/>
  <c r="BU123" i="5"/>
  <c r="N123" i="5"/>
  <c r="BW123" i="5"/>
  <c r="S122" i="5"/>
  <c r="T122" i="5" s="1"/>
  <c r="C115" i="7" l="1"/>
  <c r="D115" i="7"/>
  <c r="C114" i="7"/>
  <c r="D114" i="7"/>
  <c r="R124" i="5"/>
  <c r="CB122" i="5"/>
  <c r="M112" i="7" s="1"/>
  <c r="BZ122" i="5"/>
  <c r="CA122" i="5" s="1"/>
  <c r="B127" i="5"/>
  <c r="AD124" i="5"/>
  <c r="Z124" i="5"/>
  <c r="AA124" i="5" s="1"/>
  <c r="AH122" i="5"/>
  <c r="B115" i="7"/>
  <c r="F115" i="7"/>
  <c r="AD125" i="5"/>
  <c r="CD125" i="5"/>
  <c r="BI125" i="5"/>
  <c r="AB125" i="5"/>
  <c r="Z125" i="5"/>
  <c r="G115" i="7"/>
  <c r="AE124" i="5" l="1"/>
  <c r="C116" i="7"/>
  <c r="D116" i="7"/>
  <c r="BW125" i="5"/>
  <c r="N125" i="5"/>
  <c r="BU125" i="5"/>
  <c r="BA125" i="5"/>
  <c r="AS125" i="5"/>
  <c r="CP124" i="5"/>
  <c r="BR124" i="5"/>
  <c r="K114" i="7" s="1"/>
  <c r="AB124" i="5"/>
  <c r="CM124" i="5"/>
  <c r="CN124" i="5" s="1"/>
  <c r="S124" i="5"/>
  <c r="T124" i="5" s="1"/>
  <c r="R125" i="5"/>
  <c r="S125" i="5" s="1"/>
  <c r="T125" i="5" s="1"/>
  <c r="BR125" i="5"/>
  <c r="K115" i="7" s="1"/>
  <c r="N124" i="5"/>
  <c r="BW124" i="5"/>
  <c r="BU124" i="5"/>
  <c r="AS124" i="5"/>
  <c r="BA124" i="5"/>
  <c r="BB124" i="5"/>
  <c r="AF124" i="5"/>
  <c r="AH124" i="5" s="1"/>
  <c r="AK124" i="5" s="1"/>
  <c r="AL124" i="5" s="1"/>
  <c r="AK122" i="5"/>
  <c r="AL122" i="5" s="1"/>
  <c r="CP125" i="5"/>
  <c r="BV125" i="5"/>
  <c r="BT125" i="5"/>
  <c r="AF125" i="5"/>
  <c r="BX125" i="5"/>
  <c r="B128" i="5"/>
  <c r="B116" i="7"/>
  <c r="CD126" i="5"/>
  <c r="CM126" i="5"/>
  <c r="BI126" i="5"/>
  <c r="G116" i="7"/>
  <c r="AB126" i="5"/>
  <c r="Z126" i="5"/>
  <c r="BX126" i="5"/>
  <c r="CB126" i="5" s="1"/>
  <c r="M116" i="7" s="1"/>
  <c r="BA126" i="5"/>
  <c r="AS126" i="5"/>
  <c r="AF126" i="5"/>
  <c r="BY126" i="5"/>
  <c r="AD126" i="5"/>
  <c r="F116" i="7"/>
  <c r="CM125" i="5"/>
  <c r="CN125" i="5" s="1"/>
  <c r="BB125" i="5"/>
  <c r="AE125" i="5"/>
  <c r="AH125" i="5" s="1"/>
  <c r="AK125" i="5" s="1"/>
  <c r="AL125" i="5" s="1"/>
  <c r="BV124" i="5"/>
  <c r="BT124" i="5"/>
  <c r="CC124" i="5"/>
  <c r="CE124" i="5" s="1"/>
  <c r="CD124" i="5"/>
  <c r="BX124" i="5"/>
  <c r="BY124" i="5"/>
  <c r="AA125" i="5"/>
  <c r="CC125" i="5"/>
  <c r="CE125" i="5" s="1"/>
  <c r="BY125" i="5"/>
  <c r="CN126" i="5" l="1"/>
  <c r="R127" i="5"/>
  <c r="BZ126" i="5"/>
  <c r="CA126" i="5" s="1"/>
  <c r="B129" i="5"/>
  <c r="CC127" i="5"/>
  <c r="CE127" i="5" s="1"/>
  <c r="R126" i="5"/>
  <c r="S126" i="5" s="1"/>
  <c r="T126" i="5" s="1"/>
  <c r="BW126" i="5"/>
  <c r="BU126" i="5"/>
  <c r="N126" i="5"/>
  <c r="C117" i="7"/>
  <c r="BR126" i="5"/>
  <c r="K116" i="7" s="1"/>
  <c r="D117" i="7"/>
  <c r="AA126" i="5"/>
  <c r="BV127" i="5"/>
  <c r="CB124" i="5"/>
  <c r="M114" i="7" s="1"/>
  <c r="BZ124" i="5"/>
  <c r="CA124" i="5" s="1"/>
  <c r="BB126" i="5"/>
  <c r="CC126" i="5"/>
  <c r="CE126" i="5" s="1"/>
  <c r="BV126" i="5"/>
  <c r="BT126" i="5"/>
  <c r="S127" i="5"/>
  <c r="CB125" i="5"/>
  <c r="M115" i="7" s="1"/>
  <c r="BZ125" i="5"/>
  <c r="B117" i="7"/>
  <c r="CD127" i="5"/>
  <c r="CM127" i="5"/>
  <c r="CN127" i="5" s="1"/>
  <c r="AF127" i="5"/>
  <c r="Z127" i="5"/>
  <c r="F117" i="7"/>
  <c r="AS127" i="5"/>
  <c r="BB127" i="5"/>
  <c r="G117" i="7"/>
  <c r="BA127" i="5"/>
  <c r="BX127" i="5"/>
  <c r="CB127" i="5" s="1"/>
  <c r="M117" i="7" s="1"/>
  <c r="BI127" i="5"/>
  <c r="CP126" i="5"/>
  <c r="BT127" i="5" l="1"/>
  <c r="AA127" i="5"/>
  <c r="B118" i="7"/>
  <c r="F118" i="7"/>
  <c r="BI128" i="5"/>
  <c r="G118" i="7"/>
  <c r="AD127" i="5"/>
  <c r="AE127" i="5" s="1"/>
  <c r="AH127" i="5" s="1"/>
  <c r="AK127" i="5" s="1"/>
  <c r="AL127" i="5" s="1"/>
  <c r="T127" i="5"/>
  <c r="CP127" i="5"/>
  <c r="BY127" i="5"/>
  <c r="AB127" i="5"/>
  <c r="BZ127" i="5"/>
  <c r="CA127" i="5" s="1"/>
  <c r="BR127" i="5"/>
  <c r="K117" i="7" s="1"/>
  <c r="AE126" i="5"/>
  <c r="AH126" i="5" s="1"/>
  <c r="AK126" i="5" s="1"/>
  <c r="AL126" i="5" s="1"/>
  <c r="B130" i="5"/>
  <c r="BU127" i="5"/>
  <c r="BW127" i="5"/>
  <c r="N127" i="5"/>
  <c r="B119" i="7" l="1"/>
  <c r="BI129" i="5"/>
  <c r="F119" i="7"/>
  <c r="G119" i="7"/>
  <c r="C118" i="7"/>
  <c r="AD128" i="5"/>
  <c r="Z128" i="5"/>
  <c r="D118" i="7"/>
  <c r="B131" i="5"/>
  <c r="C120" i="7" l="1"/>
  <c r="D120" i="7"/>
  <c r="R130" i="5"/>
  <c r="AA128" i="5"/>
  <c r="AE128" i="5" s="1"/>
  <c r="AH128" i="5" s="1"/>
  <c r="CP128" i="5"/>
  <c r="BR128" i="5"/>
  <c r="K118" i="7" s="1"/>
  <c r="CM128" i="5"/>
  <c r="CN128" i="5" s="1"/>
  <c r="AB128" i="5"/>
  <c r="C119" i="7"/>
  <c r="AD129" i="5"/>
  <c r="D119" i="7"/>
  <c r="B132" i="5"/>
  <c r="BT128" i="5"/>
  <c r="BX128" i="5"/>
  <c r="BY128" i="5"/>
  <c r="BU128" i="5"/>
  <c r="N128" i="5"/>
  <c r="BA128" i="5"/>
  <c r="AF128" i="5"/>
  <c r="BB128" i="5"/>
  <c r="AS128" i="5"/>
  <c r="R128" i="5"/>
  <c r="S128" i="5" s="1"/>
  <c r="T128" i="5" s="1"/>
  <c r="Z129" i="5"/>
  <c r="B120" i="7"/>
  <c r="BR130" i="5"/>
  <c r="K120" i="7" s="1"/>
  <c r="BB130" i="5"/>
  <c r="BI130" i="5"/>
  <c r="BA130" i="5"/>
  <c r="AS130" i="5"/>
  <c r="AD130" i="5"/>
  <c r="BY130" i="5"/>
  <c r="G120" i="7"/>
  <c r="AB130" i="5"/>
  <c r="F120" i="7"/>
  <c r="AF130" i="5"/>
  <c r="Z130" i="5"/>
  <c r="BX130" i="5"/>
  <c r="CB130" i="5" s="1"/>
  <c r="M120" i="7" s="1"/>
  <c r="CD130" i="5"/>
  <c r="AK128" i="5"/>
  <c r="AL128" i="5" s="1"/>
  <c r="BZ130" i="5" l="1"/>
  <c r="CA130" i="5" s="1"/>
  <c r="N129" i="5"/>
  <c r="BU129" i="5"/>
  <c r="BW129" i="5"/>
  <c r="BA129" i="5"/>
  <c r="AS129" i="5"/>
  <c r="AF129" i="5"/>
  <c r="BB129" i="5"/>
  <c r="BV130" i="5"/>
  <c r="BT130" i="5"/>
  <c r="B121" i="7"/>
  <c r="BI131" i="5"/>
  <c r="G121" i="7"/>
  <c r="F121" i="7"/>
  <c r="CP129" i="5"/>
  <c r="BR129" i="5"/>
  <c r="K119" i="7" s="1"/>
  <c r="AB129" i="5"/>
  <c r="CM129" i="5"/>
  <c r="CN129" i="5" s="1"/>
  <c r="N130" i="5"/>
  <c r="BU130" i="5"/>
  <c r="BW130" i="5"/>
  <c r="CP130" i="5"/>
  <c r="B133" i="5"/>
  <c r="S130" i="5"/>
  <c r="T130" i="5" s="1"/>
  <c r="BT129" i="5"/>
  <c r="BV129" i="5"/>
  <c r="CD129" i="5"/>
  <c r="CC129" i="5"/>
  <c r="CE129" i="5" s="1"/>
  <c r="BY129" i="5"/>
  <c r="BX129" i="5"/>
  <c r="AA129" i="5"/>
  <c r="AA130" i="5"/>
  <c r="AE130" i="5" s="1"/>
  <c r="AH130" i="5" s="1"/>
  <c r="AK130" i="5" s="1"/>
  <c r="AL130" i="5" s="1"/>
  <c r="CB128" i="5"/>
  <c r="M118" i="7" s="1"/>
  <c r="BZ128" i="5"/>
  <c r="CA128" i="5" s="1"/>
  <c r="CM130" i="5"/>
  <c r="CN130" i="5" s="1"/>
  <c r="CC130" i="5"/>
  <c r="CE130" i="5" s="1"/>
  <c r="R129" i="5"/>
  <c r="S129" i="5" s="1"/>
  <c r="T129" i="5" s="1"/>
  <c r="C122" i="7" l="1"/>
  <c r="D122" i="7"/>
  <c r="C121" i="7"/>
  <c r="AD131" i="5"/>
  <c r="D121" i="7"/>
  <c r="CB129" i="5"/>
  <c r="M119" i="7" s="1"/>
  <c r="BZ129" i="5"/>
  <c r="CA129" i="5" s="1"/>
  <c r="Z131" i="5"/>
  <c r="B122" i="7"/>
  <c r="G122" i="7"/>
  <c r="AB132" i="5"/>
  <c r="F122" i="7"/>
  <c r="BI132" i="5"/>
  <c r="CC132" i="5"/>
  <c r="CE132" i="5" s="1"/>
  <c r="Z132" i="5"/>
  <c r="CM132" i="5"/>
  <c r="AD132" i="5"/>
  <c r="CD132" i="5"/>
  <c r="AE129" i="5"/>
  <c r="AH129" i="5" s="1"/>
  <c r="AK129" i="5" s="1"/>
  <c r="AL129" i="5" s="1"/>
  <c r="B134" i="5"/>
  <c r="C123" i="7" l="1"/>
  <c r="D123" i="7"/>
  <c r="CP132" i="5"/>
  <c r="AA131" i="5"/>
  <c r="AE131" i="5" s="1"/>
  <c r="BW132" i="5"/>
  <c r="N132" i="5"/>
  <c r="CP131" i="5"/>
  <c r="AB131" i="5"/>
  <c r="CM131" i="5"/>
  <c r="CN131" i="5" s="1"/>
  <c r="BR131" i="5"/>
  <c r="K121" i="7" s="1"/>
  <c r="AA132" i="5"/>
  <c r="AE132" i="5"/>
  <c r="BT131" i="5"/>
  <c r="BY131" i="5"/>
  <c r="BX131" i="5"/>
  <c r="BV132" i="5"/>
  <c r="B123" i="7"/>
  <c r="CM133" i="5"/>
  <c r="F123" i="7"/>
  <c r="BX133" i="5"/>
  <c r="CB133" i="5" s="1"/>
  <c r="M123" i="7" s="1"/>
  <c r="BI133" i="5"/>
  <c r="G123" i="7"/>
  <c r="AF133" i="5"/>
  <c r="AD133" i="5"/>
  <c r="CD133" i="5"/>
  <c r="BB133" i="5"/>
  <c r="CC133" i="5"/>
  <c r="CE133" i="5" s="1"/>
  <c r="BA133" i="5"/>
  <c r="AB133" i="5"/>
  <c r="Z133" i="5"/>
  <c r="BR133" i="5"/>
  <c r="K123" i="7" s="1"/>
  <c r="AS133" i="5"/>
  <c r="B135" i="5"/>
  <c r="R131" i="5"/>
  <c r="S131" i="5" s="1"/>
  <c r="T131" i="5" s="1"/>
  <c r="BU131" i="5"/>
  <c r="N131" i="5"/>
  <c r="AF131" i="5"/>
  <c r="BB131" i="5"/>
  <c r="BA131" i="5"/>
  <c r="AS131" i="5"/>
  <c r="R132" i="5"/>
  <c r="S132" i="5" s="1"/>
  <c r="T132" i="5" s="1"/>
  <c r="BZ133" i="5" l="1"/>
  <c r="CA133" i="5" s="1"/>
  <c r="AH131" i="5"/>
  <c r="BT134" i="5"/>
  <c r="AK131" i="5"/>
  <c r="AL131" i="5" s="1"/>
  <c r="D124" i="7"/>
  <c r="BV134" i="5"/>
  <c r="BT133" i="5"/>
  <c r="BV133" i="5"/>
  <c r="CN132" i="5"/>
  <c r="BW133" i="5"/>
  <c r="BU133" i="5"/>
  <c r="N133" i="5"/>
  <c r="AA133" i="5"/>
  <c r="C124" i="7"/>
  <c r="AA134" i="5"/>
  <c r="B124" i="7"/>
  <c r="G124" i="7"/>
  <c r="AB134" i="5"/>
  <c r="BX134" i="5"/>
  <c r="CB134" i="5" s="1"/>
  <c r="M124" i="7" s="1"/>
  <c r="F124" i="7"/>
  <c r="Z134" i="5"/>
  <c r="BI134" i="5"/>
  <c r="AS134" i="5"/>
  <c r="AF134" i="5"/>
  <c r="AD134" i="5"/>
  <c r="AE134" i="5" s="1"/>
  <c r="AH134" i="5" s="1"/>
  <c r="R133" i="5"/>
  <c r="S133" i="5" s="1"/>
  <c r="T133" i="5" s="1"/>
  <c r="AF132" i="5"/>
  <c r="AH132" i="5" s="1"/>
  <c r="BY133" i="5"/>
  <c r="CB131" i="5"/>
  <c r="M121" i="7" s="1"/>
  <c r="BZ131" i="5"/>
  <c r="CA131" i="5" s="1"/>
  <c r="CP133" i="5"/>
  <c r="B136" i="5"/>
  <c r="CN133" i="5"/>
  <c r="C125" i="7" l="1"/>
  <c r="R135" i="5"/>
  <c r="D125" i="7"/>
  <c r="BR134" i="5"/>
  <c r="K124" i="7" s="1"/>
  <c r="R134" i="5"/>
  <c r="S134" i="5" s="1"/>
  <c r="T134" i="5" s="1"/>
  <c r="BZ134" i="5"/>
  <c r="CA134" i="5" s="1"/>
  <c r="N134" i="5"/>
  <c r="BW134" i="5"/>
  <c r="BU134" i="5"/>
  <c r="CP134" i="5"/>
  <c r="CC134" i="5"/>
  <c r="CE134" i="5" s="1"/>
  <c r="AK132" i="5"/>
  <c r="AL132" i="5" s="1"/>
  <c r="B137" i="5"/>
  <c r="AE133" i="5"/>
  <c r="AH133" i="5" s="1"/>
  <c r="AK133" i="5" s="1"/>
  <c r="AL133" i="5" s="1"/>
  <c r="BA134" i="5"/>
  <c r="CM134" i="5"/>
  <c r="CN134" i="5" s="1"/>
  <c r="BY134" i="5"/>
  <c r="B125" i="7"/>
  <c r="BI135" i="5"/>
  <c r="BA135" i="5"/>
  <c r="AS135" i="5"/>
  <c r="AD135" i="5"/>
  <c r="BX135" i="5"/>
  <c r="CB135" i="5" s="1"/>
  <c r="M125" i="7" s="1"/>
  <c r="F125" i="7"/>
  <c r="BY135" i="5"/>
  <c r="Z135" i="5"/>
  <c r="G125" i="7"/>
  <c r="AF135" i="5"/>
  <c r="BR135" i="5"/>
  <c r="K125" i="7" s="1"/>
  <c r="AB135" i="5"/>
  <c r="BB135" i="5"/>
  <c r="AK134" i="5"/>
  <c r="AL134" i="5" s="1"/>
  <c r="CD134" i="5"/>
  <c r="BB134" i="5"/>
  <c r="B126" i="7" l="1"/>
  <c r="G126" i="7"/>
  <c r="BI136" i="5"/>
  <c r="F126" i="7"/>
  <c r="AA135" i="5"/>
  <c r="AE135" i="5" s="1"/>
  <c r="AH135" i="5" s="1"/>
  <c r="CP135" i="5"/>
  <c r="S135" i="5"/>
  <c r="T135" i="5" s="1"/>
  <c r="BZ135" i="5"/>
  <c r="CA135" i="5" s="1"/>
  <c r="BU135" i="5"/>
  <c r="N135" i="5"/>
  <c r="B138" i="5"/>
  <c r="BT135" i="5"/>
  <c r="CM135" i="5"/>
  <c r="CN135" i="5" s="1"/>
  <c r="AK135" i="5" l="1"/>
  <c r="AL135" i="5" s="1"/>
  <c r="C127" i="7"/>
  <c r="D127" i="7"/>
  <c r="R137" i="5"/>
  <c r="C126" i="7"/>
  <c r="D126" i="7"/>
  <c r="R136" i="5"/>
  <c r="S136" i="5" s="1"/>
  <c r="B127" i="7"/>
  <c r="BX137" i="5"/>
  <c r="CB137" i="5" s="1"/>
  <c r="M127" i="7" s="1"/>
  <c r="F127" i="7"/>
  <c r="CD137" i="5"/>
  <c r="CM137" i="5"/>
  <c r="CC137" i="5"/>
  <c r="CE137" i="5" s="1"/>
  <c r="AF137" i="5"/>
  <c r="Z137" i="5"/>
  <c r="AD137" i="5"/>
  <c r="BY137" i="5"/>
  <c r="BI137" i="5"/>
  <c r="BR137" i="5"/>
  <c r="K127" i="7" s="1"/>
  <c r="AS137" i="5"/>
  <c r="G127" i="7"/>
  <c r="BB137" i="5"/>
  <c r="AB137" i="5"/>
  <c r="BA137" i="5"/>
  <c r="AD136" i="5"/>
  <c r="B139" i="5"/>
  <c r="Z136" i="5"/>
  <c r="C128" i="7" l="1"/>
  <c r="BA138" i="5"/>
  <c r="D128" i="7"/>
  <c r="R138" i="5"/>
  <c r="BV137" i="5"/>
  <c r="BT137" i="5"/>
  <c r="BV136" i="5"/>
  <c r="BT136" i="5"/>
  <c r="CD136" i="5"/>
  <c r="BX136" i="5"/>
  <c r="BY136" i="5"/>
  <c r="CC136" i="5"/>
  <c r="CE136" i="5" s="1"/>
  <c r="BU137" i="5"/>
  <c r="BW137" i="5"/>
  <c r="N137" i="5"/>
  <c r="BW136" i="5"/>
  <c r="BU136" i="5"/>
  <c r="N136" i="5"/>
  <c r="BA136" i="5"/>
  <c r="AF136" i="5"/>
  <c r="AS136" i="5"/>
  <c r="BB136" i="5"/>
  <c r="AE136" i="5"/>
  <c r="AA137" i="5"/>
  <c r="AA136" i="5"/>
  <c r="CP137" i="5"/>
  <c r="B140" i="5"/>
  <c r="BZ137" i="5"/>
  <c r="CA137" i="5" s="1"/>
  <c r="B128" i="7"/>
  <c r="CM138" i="5"/>
  <c r="CN138" i="5" s="1"/>
  <c r="AF138" i="5"/>
  <c r="Z138" i="5"/>
  <c r="AD138" i="5"/>
  <c r="BY138" i="5"/>
  <c r="BX138" i="5"/>
  <c r="CB138" i="5" s="1"/>
  <c r="M128" i="7" s="1"/>
  <c r="BI138" i="5"/>
  <c r="F128" i="7"/>
  <c r="AS138" i="5"/>
  <c r="G128" i="7"/>
  <c r="AB138" i="5"/>
  <c r="BB138" i="5"/>
  <c r="T136" i="5"/>
  <c r="CP136" i="5"/>
  <c r="BR136" i="5"/>
  <c r="K126" i="7" s="1"/>
  <c r="AB136" i="5"/>
  <c r="CM136" i="5"/>
  <c r="CN136" i="5" s="1"/>
  <c r="S137" i="5"/>
  <c r="T137" i="5" s="1"/>
  <c r="BZ138" i="5" l="1"/>
  <c r="CA138" i="5" s="1"/>
  <c r="CP138" i="5"/>
  <c r="B129" i="7"/>
  <c r="BI139" i="5"/>
  <c r="F129" i="7"/>
  <c r="G129" i="7"/>
  <c r="B141" i="5"/>
  <c r="BT138" i="5"/>
  <c r="CN137" i="5"/>
  <c r="AA138" i="5"/>
  <c r="AE138" i="5" s="1"/>
  <c r="AH138" i="5" s="1"/>
  <c r="AH136" i="5"/>
  <c r="AK136" i="5" s="1"/>
  <c r="AL136" i="5" s="1"/>
  <c r="CB136" i="5"/>
  <c r="M126" i="7" s="1"/>
  <c r="BZ136" i="5"/>
  <c r="CA136" i="5" s="1"/>
  <c r="BR138" i="5"/>
  <c r="K128" i="7" s="1"/>
  <c r="AE137" i="5"/>
  <c r="AH137" i="5" s="1"/>
  <c r="AK137" i="5" s="1"/>
  <c r="AL137" i="5" s="1"/>
  <c r="S138" i="5"/>
  <c r="T138" i="5" s="1"/>
  <c r="BU138" i="5"/>
  <c r="N138" i="5"/>
  <c r="AK138" i="5" l="1"/>
  <c r="AL138" i="5" s="1"/>
  <c r="Z139" i="5"/>
  <c r="AA139" i="5" s="1"/>
  <c r="B130" i="7"/>
  <c r="BI140" i="5"/>
  <c r="F130" i="7"/>
  <c r="G130" i="7"/>
  <c r="B142" i="5"/>
  <c r="C129" i="7"/>
  <c r="AD139" i="5"/>
  <c r="D129" i="7"/>
  <c r="AE139" i="5" l="1"/>
  <c r="B143" i="5"/>
  <c r="D131" i="7"/>
  <c r="R139" i="5"/>
  <c r="S139" i="5" s="1"/>
  <c r="T139" i="5" s="1"/>
  <c r="BV139" i="5"/>
  <c r="BT139" i="5"/>
  <c r="CC139" i="5"/>
  <c r="CE139" i="5" s="1"/>
  <c r="BX139" i="5"/>
  <c r="BY139" i="5"/>
  <c r="CD139" i="5"/>
  <c r="C130" i="7"/>
  <c r="AD140" i="5"/>
  <c r="D130" i="7"/>
  <c r="R140" i="5"/>
  <c r="C131" i="7"/>
  <c r="N139" i="5"/>
  <c r="BU139" i="5"/>
  <c r="BW139" i="5"/>
  <c r="AS139" i="5"/>
  <c r="BB139" i="5"/>
  <c r="BA139" i="5"/>
  <c r="AF139" i="5"/>
  <c r="AH139" i="5" s="1"/>
  <c r="AK139" i="5" s="1"/>
  <c r="AL139" i="5" s="1"/>
  <c r="Z140" i="5"/>
  <c r="CP139" i="5"/>
  <c r="CM139" i="5"/>
  <c r="CN139" i="5" s="1"/>
  <c r="BR139" i="5"/>
  <c r="K129" i="7" s="1"/>
  <c r="AB139" i="5"/>
  <c r="B131" i="7"/>
  <c r="CD141" i="5"/>
  <c r="CM141" i="5"/>
  <c r="CC141" i="5"/>
  <c r="CE141" i="5" s="1"/>
  <c r="AF141" i="5"/>
  <c r="BR141" i="5"/>
  <c r="K131" i="7" s="1"/>
  <c r="BB141" i="5"/>
  <c r="BI141" i="5"/>
  <c r="AD141" i="5"/>
  <c r="BY141" i="5"/>
  <c r="G131" i="7"/>
  <c r="AB141" i="5"/>
  <c r="F131" i="7"/>
  <c r="BX141" i="5"/>
  <c r="CB141" i="5" s="1"/>
  <c r="M131" i="7" s="1"/>
  <c r="BA141" i="5"/>
  <c r="Z141" i="5"/>
  <c r="AS141" i="5"/>
  <c r="R141" i="5"/>
  <c r="S141" i="5" l="1"/>
  <c r="BZ141" i="5"/>
  <c r="CA141" i="5" s="1"/>
  <c r="BU140" i="5"/>
  <c r="N140" i="5"/>
  <c r="BW140" i="5"/>
  <c r="AF140" i="5"/>
  <c r="BA140" i="5"/>
  <c r="AS140" i="5"/>
  <c r="BB140" i="5"/>
  <c r="BV141" i="5"/>
  <c r="BT141" i="5"/>
  <c r="B144" i="5"/>
  <c r="CB139" i="5"/>
  <c r="M129" i="7" s="1"/>
  <c r="BZ139" i="5"/>
  <c r="B132" i="7"/>
  <c r="BI142" i="5"/>
  <c r="G132" i="7"/>
  <c r="F132" i="7"/>
  <c r="BV140" i="5"/>
  <c r="BT140" i="5"/>
  <c r="BY140" i="5"/>
  <c r="BX140" i="5"/>
  <c r="CD140" i="5"/>
  <c r="CC140" i="5"/>
  <c r="CE140" i="5" s="1"/>
  <c r="AA140" i="5"/>
  <c r="AE140" i="5" s="1"/>
  <c r="T141" i="5"/>
  <c r="CP141" i="5"/>
  <c r="BW141" i="5"/>
  <c r="N141" i="5"/>
  <c r="S140" i="5"/>
  <c r="T140" i="5" s="1"/>
  <c r="BU141" i="5"/>
  <c r="AA141" i="5"/>
  <c r="CP140" i="5"/>
  <c r="CM140" i="5"/>
  <c r="CN140" i="5" s="1"/>
  <c r="BR140" i="5"/>
  <c r="K130" i="7" s="1"/>
  <c r="AB140" i="5"/>
  <c r="AH140" i="5" l="1"/>
  <c r="AK140" i="5" s="1"/>
  <c r="AL140" i="5" s="1"/>
  <c r="C133" i="7"/>
  <c r="D133" i="7"/>
  <c r="R143" i="5"/>
  <c r="C132" i="7"/>
  <c r="D132" i="7"/>
  <c r="R142" i="5"/>
  <c r="S142" i="5"/>
  <c r="B133" i="7"/>
  <c r="BR143" i="5"/>
  <c r="K133" i="7" s="1"/>
  <c r="BB143" i="5"/>
  <c r="BI143" i="5"/>
  <c r="BA143" i="5"/>
  <c r="AS143" i="5"/>
  <c r="AD143" i="5"/>
  <c r="BY143" i="5"/>
  <c r="G133" i="7"/>
  <c r="AB143" i="5"/>
  <c r="CD143" i="5"/>
  <c r="BX143" i="5"/>
  <c r="CB143" i="5" s="1"/>
  <c r="M133" i="7" s="1"/>
  <c r="F133" i="7"/>
  <c r="CM143" i="5"/>
  <c r="CC143" i="5"/>
  <c r="CE143" i="5"/>
  <c r="AF143" i="5"/>
  <c r="Z143" i="5"/>
  <c r="Z142" i="5"/>
  <c r="AE141" i="5"/>
  <c r="AH141" i="5" s="1"/>
  <c r="AK141" i="5" s="1"/>
  <c r="AL141" i="5" s="1"/>
  <c r="AD142" i="5"/>
  <c r="CB140" i="5"/>
  <c r="M130" i="7" s="1"/>
  <c r="BZ140" i="5"/>
  <c r="CA140" i="5" s="1"/>
  <c r="B145" i="5"/>
  <c r="CN141" i="5"/>
  <c r="B134" i="7" l="1"/>
  <c r="BI144" i="5"/>
  <c r="G134" i="7"/>
  <c r="F134" i="7"/>
  <c r="CP142" i="5"/>
  <c r="T142" i="5"/>
  <c r="BR142" i="5"/>
  <c r="K132" i="7" s="1"/>
  <c r="AB142" i="5"/>
  <c r="CM142" i="5"/>
  <c r="CN142" i="5" s="1"/>
  <c r="CP143" i="5"/>
  <c r="BZ143" i="5"/>
  <c r="CA143" i="5" s="1"/>
  <c r="S143" i="5"/>
  <c r="T143" i="5" s="1"/>
  <c r="B146" i="5"/>
  <c r="BT142" i="5"/>
  <c r="BV142" i="5"/>
  <c r="BY142" i="5"/>
  <c r="CD142" i="5"/>
  <c r="BX142" i="5"/>
  <c r="CC142" i="5"/>
  <c r="CE142" i="5" s="1"/>
  <c r="N143" i="5"/>
  <c r="BW143" i="5"/>
  <c r="BU143" i="5"/>
  <c r="BU142" i="5"/>
  <c r="N142" i="5"/>
  <c r="BW142" i="5"/>
  <c r="BA142" i="5"/>
  <c r="AS142" i="5"/>
  <c r="AF142" i="5"/>
  <c r="BB142" i="5"/>
  <c r="AA142" i="5"/>
  <c r="AA143" i="5"/>
  <c r="AE143" i="5" s="1"/>
  <c r="AH143" i="5" s="1"/>
  <c r="AK143" i="5" s="1"/>
  <c r="AL143" i="5" s="1"/>
  <c r="BT143" i="5"/>
  <c r="BV143" i="5"/>
  <c r="CN143" i="5"/>
  <c r="B135" i="7" l="1"/>
  <c r="BI145" i="5"/>
  <c r="G135" i="7"/>
  <c r="F135" i="7"/>
  <c r="AE142" i="5"/>
  <c r="AH142" i="5" s="1"/>
  <c r="AK142" i="5" s="1"/>
  <c r="AL142" i="5" s="1"/>
  <c r="CB142" i="5"/>
  <c r="M132" i="7" s="1"/>
  <c r="BZ142" i="5"/>
  <c r="CA142" i="5" s="1"/>
  <c r="B147" i="5"/>
  <c r="C134" i="7"/>
  <c r="AD144" i="5"/>
  <c r="Z144" i="5"/>
  <c r="D134" i="7"/>
  <c r="C136" i="7" l="1"/>
  <c r="BR146" i="5"/>
  <c r="K136" i="7" s="1"/>
  <c r="D136" i="7"/>
  <c r="N144" i="5"/>
  <c r="BU144" i="5"/>
  <c r="BW144" i="5"/>
  <c r="AF144" i="5"/>
  <c r="BA144" i="5"/>
  <c r="AS144" i="5"/>
  <c r="BB144" i="5"/>
  <c r="CP144" i="5"/>
  <c r="AB144" i="5"/>
  <c r="BR144" i="5"/>
  <c r="K134" i="7" s="1"/>
  <c r="CM144" i="5"/>
  <c r="CN144" i="5" s="1"/>
  <c r="BV144" i="5"/>
  <c r="BT144" i="5"/>
  <c r="BX144" i="5"/>
  <c r="CD144" i="5"/>
  <c r="BY144" i="5"/>
  <c r="CC144" i="5"/>
  <c r="CE144" i="5" s="1"/>
  <c r="AA144" i="5"/>
  <c r="B148" i="5"/>
  <c r="R144" i="5"/>
  <c r="S144" i="5" s="1"/>
  <c r="T144" i="5" s="1"/>
  <c r="B136" i="7"/>
  <c r="BY146" i="5"/>
  <c r="G136" i="7"/>
  <c r="AB146" i="5"/>
  <c r="BX146" i="5"/>
  <c r="CB146" i="5" s="1"/>
  <c r="M136" i="7" s="1"/>
  <c r="F136" i="7"/>
  <c r="CD146" i="5"/>
  <c r="BB146" i="5"/>
  <c r="CC146" i="5"/>
  <c r="CE146" i="5" s="1"/>
  <c r="AF146" i="5"/>
  <c r="BA146" i="5"/>
  <c r="Z146" i="5"/>
  <c r="AS146" i="5"/>
  <c r="CM146" i="5"/>
  <c r="BI146" i="5"/>
  <c r="AD146" i="5"/>
  <c r="C135" i="7"/>
  <c r="AD145" i="5"/>
  <c r="Z145" i="5"/>
  <c r="D135" i="7"/>
  <c r="BW147" i="5" l="1"/>
  <c r="BU147" i="5"/>
  <c r="N147" i="5"/>
  <c r="BW145" i="5"/>
  <c r="BU145" i="5"/>
  <c r="N145" i="5"/>
  <c r="BA145" i="5"/>
  <c r="AS145" i="5"/>
  <c r="BB145" i="5"/>
  <c r="AF145" i="5"/>
  <c r="R145" i="5"/>
  <c r="S145" i="5" s="1"/>
  <c r="T145" i="5" s="1"/>
  <c r="CP146" i="5"/>
  <c r="B149" i="5"/>
  <c r="AA145" i="5"/>
  <c r="R147" i="5"/>
  <c r="BV146" i="5"/>
  <c r="BT146" i="5"/>
  <c r="AA146" i="5"/>
  <c r="BV145" i="5"/>
  <c r="BT145" i="5"/>
  <c r="BX145" i="5"/>
  <c r="CC145" i="5"/>
  <c r="CE145" i="5" s="1"/>
  <c r="BY145" i="5"/>
  <c r="CD145" i="5"/>
  <c r="BZ146" i="5"/>
  <c r="CA146" i="5" s="1"/>
  <c r="C137" i="7"/>
  <c r="R146" i="5"/>
  <c r="S146" i="5" s="1"/>
  <c r="T146" i="5" s="1"/>
  <c r="BV147" i="5"/>
  <c r="BT147" i="5"/>
  <c r="CB144" i="5"/>
  <c r="M134" i="7" s="1"/>
  <c r="BZ144" i="5"/>
  <c r="CA144" i="5" s="1"/>
  <c r="B137" i="7"/>
  <c r="BX147" i="5"/>
  <c r="CB147" i="5" s="1"/>
  <c r="M137" i="7" s="1"/>
  <c r="F137" i="7"/>
  <c r="CD147" i="5"/>
  <c r="CC147" i="5"/>
  <c r="CE147" i="5" s="1"/>
  <c r="AF147" i="5"/>
  <c r="BI147" i="5"/>
  <c r="AS147" i="5"/>
  <c r="AD147" i="5"/>
  <c r="BR147" i="5"/>
  <c r="K137" i="7" s="1"/>
  <c r="BB147" i="5"/>
  <c r="BA147" i="5"/>
  <c r="G137" i="7"/>
  <c r="BY147" i="5"/>
  <c r="AB147" i="5"/>
  <c r="CP145" i="5"/>
  <c r="AB145" i="5"/>
  <c r="BR145" i="5"/>
  <c r="K135" i="7" s="1"/>
  <c r="CM145" i="5"/>
  <c r="CN145" i="5" s="1"/>
  <c r="D137" i="7"/>
  <c r="CM147" i="5"/>
  <c r="CN147" i="5" s="1"/>
  <c r="BW146" i="5"/>
  <c r="BU146" i="5"/>
  <c r="N146" i="5"/>
  <c r="AE144" i="5"/>
  <c r="AH144" i="5" s="1"/>
  <c r="AK144" i="5" s="1"/>
  <c r="AL144" i="5" s="1"/>
  <c r="BZ147" i="5" l="1"/>
  <c r="CA147" i="5" s="1"/>
  <c r="AE146" i="5"/>
  <c r="AH146" i="5" s="1"/>
  <c r="AK146" i="5" s="1"/>
  <c r="AL146" i="5" s="1"/>
  <c r="Z147" i="5"/>
  <c r="AA147" i="5" s="1"/>
  <c r="CB145" i="5"/>
  <c r="M135" i="7" s="1"/>
  <c r="BZ145" i="5"/>
  <c r="CA145" i="5" s="1"/>
  <c r="AE145" i="5"/>
  <c r="AH145" i="5" s="1"/>
  <c r="AK145" i="5" s="1"/>
  <c r="AL145" i="5" s="1"/>
  <c r="B138" i="7"/>
  <c r="BI148" i="5"/>
  <c r="G138" i="7"/>
  <c r="F138" i="7"/>
  <c r="S147" i="5"/>
  <c r="CN146" i="5"/>
  <c r="B150" i="5"/>
  <c r="CP147" i="5"/>
  <c r="T147" i="5"/>
  <c r="AE147" i="5" l="1"/>
  <c r="AH147" i="5" s="1"/>
  <c r="AK147" i="5" s="1"/>
  <c r="AL147" i="5" s="1"/>
  <c r="C138" i="7"/>
  <c r="Z148" i="5"/>
  <c r="R148" i="5"/>
  <c r="D138" i="7"/>
  <c r="AD148" i="5"/>
  <c r="B139" i="7"/>
  <c r="BI149" i="5"/>
  <c r="G139" i="7"/>
  <c r="F139" i="7"/>
  <c r="B151" i="5"/>
  <c r="C139" i="7" l="1"/>
  <c r="Z149" i="5"/>
  <c r="D139" i="7"/>
  <c r="AD149" i="5"/>
  <c r="B140" i="7"/>
  <c r="BI150" i="5"/>
  <c r="G140" i="7"/>
  <c r="F140" i="7"/>
  <c r="BW148" i="5"/>
  <c r="BU148" i="5"/>
  <c r="N148" i="5"/>
  <c r="BA148" i="5"/>
  <c r="AF148" i="5"/>
  <c r="AS148" i="5"/>
  <c r="BB148" i="5"/>
  <c r="S148" i="5"/>
  <c r="BV148" i="5"/>
  <c r="BT148" i="5"/>
  <c r="BX148" i="5"/>
  <c r="CC148" i="5"/>
  <c r="CE148" i="5" s="1"/>
  <c r="CD148" i="5"/>
  <c r="BY148" i="5"/>
  <c r="CP148" i="5"/>
  <c r="T148" i="5"/>
  <c r="AB148" i="5"/>
  <c r="CM148" i="5"/>
  <c r="CN148" i="5" s="1"/>
  <c r="BR148" i="5"/>
  <c r="K138" i="7" s="1"/>
  <c r="B152" i="5"/>
  <c r="AA148" i="5"/>
  <c r="BW149" i="5" l="1"/>
  <c r="BU149" i="5"/>
  <c r="N149" i="5"/>
  <c r="AS149" i="5"/>
  <c r="BA149" i="5"/>
  <c r="BB149" i="5"/>
  <c r="AF149" i="5"/>
  <c r="CB148" i="5"/>
  <c r="M138" i="7" s="1"/>
  <c r="BZ148" i="5"/>
  <c r="CA148" i="5" s="1"/>
  <c r="B153" i="5"/>
  <c r="BV149" i="5"/>
  <c r="BT149" i="5"/>
  <c r="CC149" i="5"/>
  <c r="CE149" i="5" s="1"/>
  <c r="BX149" i="5"/>
  <c r="BY149" i="5"/>
  <c r="CD149" i="5"/>
  <c r="B141" i="7"/>
  <c r="BI151" i="5"/>
  <c r="G141" i="7"/>
  <c r="F141" i="7"/>
  <c r="R149" i="5"/>
  <c r="S149" i="5" s="1"/>
  <c r="T149" i="5" s="1"/>
  <c r="C140" i="7"/>
  <c r="Z150" i="5"/>
  <c r="R150" i="5"/>
  <c r="D140" i="7"/>
  <c r="AE148" i="5"/>
  <c r="AH148" i="5" s="1"/>
  <c r="AK148" i="5" s="1"/>
  <c r="AL148" i="5" s="1"/>
  <c r="AA149" i="5"/>
  <c r="AD150" i="5"/>
  <c r="CP149" i="5"/>
  <c r="CM149" i="5"/>
  <c r="CN149" i="5" s="1"/>
  <c r="BR149" i="5"/>
  <c r="K139" i="7" s="1"/>
  <c r="AB149" i="5"/>
  <c r="C142" i="7" l="1"/>
  <c r="BB152" i="5"/>
  <c r="D142" i="7"/>
  <c r="BV150" i="5"/>
  <c r="BT150" i="5"/>
  <c r="CC150" i="5"/>
  <c r="CE150" i="5" s="1"/>
  <c r="BY150" i="5"/>
  <c r="CD150" i="5"/>
  <c r="BX150" i="5"/>
  <c r="BU150" i="5"/>
  <c r="N150" i="5"/>
  <c r="BW150" i="5"/>
  <c r="AS150" i="5"/>
  <c r="BA150" i="5"/>
  <c r="AF150" i="5"/>
  <c r="BB150" i="5"/>
  <c r="AE149" i="5"/>
  <c r="AH149" i="5" s="1"/>
  <c r="AK149" i="5" s="1"/>
  <c r="AL149" i="5" s="1"/>
  <c r="S150" i="5"/>
  <c r="B154" i="5"/>
  <c r="AA150" i="5"/>
  <c r="AE150" i="5" s="1"/>
  <c r="AH150" i="5" s="1"/>
  <c r="AK150" i="5" s="1"/>
  <c r="AL150" i="5" s="1"/>
  <c r="B142" i="7"/>
  <c r="BR152" i="5"/>
  <c r="K142" i="7" s="1"/>
  <c r="BI152" i="5"/>
  <c r="BA152" i="5"/>
  <c r="AS152" i="5"/>
  <c r="AD152" i="5"/>
  <c r="BY152" i="5"/>
  <c r="G142" i="7"/>
  <c r="BX152" i="5"/>
  <c r="CB152" i="5" s="1"/>
  <c r="M142" i="7" s="1"/>
  <c r="F142" i="7"/>
  <c r="CM152" i="5"/>
  <c r="Z152" i="5"/>
  <c r="AA152" i="5" s="1"/>
  <c r="CD152" i="5"/>
  <c r="AF152" i="5"/>
  <c r="C141" i="7"/>
  <c r="AD151" i="5"/>
  <c r="Z151" i="5"/>
  <c r="D141" i="7"/>
  <c r="CP150" i="5"/>
  <c r="T150" i="5"/>
  <c r="BR150" i="5"/>
  <c r="K140" i="7" s="1"/>
  <c r="CM150" i="5"/>
  <c r="CN150" i="5" s="1"/>
  <c r="AB150" i="5"/>
  <c r="CB149" i="5"/>
  <c r="M139" i="7" s="1"/>
  <c r="BZ149" i="5"/>
  <c r="CA149" i="5" s="1"/>
  <c r="AE152" i="5" l="1"/>
  <c r="BZ152" i="5"/>
  <c r="CA152" i="5" s="1"/>
  <c r="C143" i="7"/>
  <c r="D143" i="7"/>
  <c r="R153" i="5"/>
  <c r="CP151" i="5"/>
  <c r="AB151" i="5"/>
  <c r="CM151" i="5"/>
  <c r="CN151" i="5" s="1"/>
  <c r="BR151" i="5"/>
  <c r="K141" i="7" s="1"/>
  <c r="AH152" i="5"/>
  <c r="CP152" i="5"/>
  <c r="BU151" i="5"/>
  <c r="N151" i="5"/>
  <c r="AS151" i="5"/>
  <c r="AF151" i="5"/>
  <c r="BB151" i="5"/>
  <c r="BA151" i="5"/>
  <c r="CB150" i="5"/>
  <c r="M140" i="7" s="1"/>
  <c r="BZ150" i="5"/>
  <c r="CA150" i="5" s="1"/>
  <c r="R152" i="5"/>
  <c r="N152" i="5"/>
  <c r="BW152" i="5"/>
  <c r="BU152" i="5"/>
  <c r="BT151" i="5"/>
  <c r="BY151" i="5"/>
  <c r="BX151" i="5"/>
  <c r="R151" i="5"/>
  <c r="S151" i="5" s="1"/>
  <c r="T151" i="5" s="1"/>
  <c r="CC152" i="5"/>
  <c r="CE152" i="5" s="1"/>
  <c r="AB152" i="5"/>
  <c r="B155" i="5"/>
  <c r="BT152" i="5"/>
  <c r="BV152" i="5"/>
  <c r="B143" i="7"/>
  <c r="BB153" i="5"/>
  <c r="BI153" i="5"/>
  <c r="BA153" i="5"/>
  <c r="AS153" i="5"/>
  <c r="AD153" i="5"/>
  <c r="BY153" i="5"/>
  <c r="G143" i="7"/>
  <c r="BX153" i="5"/>
  <c r="CB153" i="5" s="1"/>
  <c r="M143" i="7" s="1"/>
  <c r="F143" i="7"/>
  <c r="AF153" i="5"/>
  <c r="Z153" i="5"/>
  <c r="CM153" i="5"/>
  <c r="CN153" i="5" s="1"/>
  <c r="S152" i="5"/>
  <c r="T152" i="5" s="1"/>
  <c r="AA151" i="5"/>
  <c r="AK152" i="5"/>
  <c r="AL152" i="5" s="1"/>
  <c r="BZ153" i="5" l="1"/>
  <c r="CA153" i="5" s="1"/>
  <c r="CN152" i="5"/>
  <c r="B156" i="5"/>
  <c r="BT153" i="5"/>
  <c r="CP153" i="5"/>
  <c r="N153" i="5"/>
  <c r="BU153" i="5"/>
  <c r="D144" i="7"/>
  <c r="BR153" i="5"/>
  <c r="K143" i="7" s="1"/>
  <c r="AB154" i="5"/>
  <c r="CB151" i="5"/>
  <c r="M141" i="7" s="1"/>
  <c r="BZ151" i="5"/>
  <c r="CA151" i="5" s="1"/>
  <c r="S153" i="5"/>
  <c r="T153" i="5" s="1"/>
  <c r="AA153" i="5"/>
  <c r="AE153" i="5" s="1"/>
  <c r="AH153" i="5" s="1"/>
  <c r="C144" i="7"/>
  <c r="AB153" i="5"/>
  <c r="BX154" i="5"/>
  <c r="R154" i="5"/>
  <c r="B144" i="7"/>
  <c r="BI154" i="5"/>
  <c r="BA154" i="5"/>
  <c r="AS154" i="5"/>
  <c r="AD154" i="5"/>
  <c r="BY154" i="5"/>
  <c r="G144" i="7"/>
  <c r="F144" i="7"/>
  <c r="CM154" i="5"/>
  <c r="CN154" i="5" s="1"/>
  <c r="Z154" i="5"/>
  <c r="BR154" i="5"/>
  <c r="K144" i="7" s="1"/>
  <c r="AF154" i="5"/>
  <c r="CD154" i="5"/>
  <c r="CC154" i="5"/>
  <c r="CE154" i="5" s="1"/>
  <c r="AE151" i="5"/>
  <c r="AH151" i="5" s="1"/>
  <c r="CB154" i="5" l="1"/>
  <c r="M144" i="7" s="1"/>
  <c r="BZ154" i="5"/>
  <c r="CA154" i="5" s="1"/>
  <c r="C145" i="7"/>
  <c r="D145" i="7"/>
  <c r="AK153" i="5"/>
  <c r="AL153" i="5" s="1"/>
  <c r="BW154" i="5"/>
  <c r="BU154" i="5"/>
  <c r="N154" i="5"/>
  <c r="B157" i="5"/>
  <c r="AK151" i="5"/>
  <c r="AL151" i="5" s="1"/>
  <c r="BB154" i="5"/>
  <c r="AA154" i="5"/>
  <c r="CP154" i="5"/>
  <c r="S154" i="5"/>
  <c r="T154" i="5" s="1"/>
  <c r="AE154" i="5"/>
  <c r="AH154" i="5" s="1"/>
  <c r="BV154" i="5"/>
  <c r="BT154" i="5"/>
  <c r="B145" i="7"/>
  <c r="BY155" i="5"/>
  <c r="G145" i="7"/>
  <c r="AB155" i="5"/>
  <c r="BX155" i="5"/>
  <c r="CB155" i="5" s="1"/>
  <c r="M145" i="7" s="1"/>
  <c r="F145" i="7"/>
  <c r="CD155" i="5"/>
  <c r="CC155" i="5"/>
  <c r="CE155" i="5" s="1"/>
  <c r="AF155" i="5"/>
  <c r="BI155" i="5"/>
  <c r="AS155" i="5"/>
  <c r="AD155" i="5"/>
  <c r="BB155" i="5"/>
  <c r="BA155" i="5"/>
  <c r="CM155" i="5"/>
  <c r="CN155" i="5" s="1"/>
  <c r="Z155" i="5"/>
  <c r="BR155" i="5"/>
  <c r="K145" i="7" s="1"/>
  <c r="BZ155" i="5" l="1"/>
  <c r="CA155" i="5" s="1"/>
  <c r="C146" i="7"/>
  <c r="D146" i="7"/>
  <c r="CM156" i="5"/>
  <c r="CN156" i="5" s="1"/>
  <c r="BV155" i="5"/>
  <c r="BT155" i="5"/>
  <c r="CP155" i="5"/>
  <c r="AK154" i="5"/>
  <c r="AL154" i="5" s="1"/>
  <c r="AA155" i="5"/>
  <c r="AE155" i="5" s="1"/>
  <c r="AH155" i="5" s="1"/>
  <c r="AK155" i="5" s="1"/>
  <c r="AL155" i="5" s="1"/>
  <c r="B146" i="7"/>
  <c r="F146" i="7"/>
  <c r="CC156" i="5"/>
  <c r="CE156" i="5" s="1"/>
  <c r="Z156" i="5"/>
  <c r="BB156" i="5"/>
  <c r="BI156" i="5"/>
  <c r="G146" i="7"/>
  <c r="AB156" i="5"/>
  <c r="R155" i="5"/>
  <c r="S155" i="5" s="1"/>
  <c r="T155" i="5" s="1"/>
  <c r="B158" i="5"/>
  <c r="BW155" i="5"/>
  <c r="N155" i="5"/>
  <c r="BU155" i="5"/>
  <c r="BY156" i="5" l="1"/>
  <c r="BR156" i="5"/>
  <c r="K146" i="7" s="1"/>
  <c r="CP156" i="5"/>
  <c r="AA156" i="5"/>
  <c r="B147" i="7"/>
  <c r="BI157" i="5"/>
  <c r="G147" i="7"/>
  <c r="F147" i="7"/>
  <c r="AS156" i="5"/>
  <c r="AF156" i="5"/>
  <c r="BW156" i="5"/>
  <c r="BU156" i="5"/>
  <c r="N156" i="5"/>
  <c r="AD156" i="5"/>
  <c r="AE156" i="5" s="1"/>
  <c r="BA156" i="5"/>
  <c r="CD156" i="5"/>
  <c r="BX156" i="5"/>
  <c r="BV156" i="5"/>
  <c r="BT156" i="5"/>
  <c r="B159" i="5"/>
  <c r="R156" i="5"/>
  <c r="S156" i="5" s="1"/>
  <c r="T156" i="5" s="1"/>
  <c r="B148" i="7" l="1"/>
  <c r="BI158" i="5"/>
  <c r="G148" i="7"/>
  <c r="F148" i="7"/>
  <c r="B160" i="5"/>
  <c r="CB156" i="5"/>
  <c r="M146" i="7" s="1"/>
  <c r="BZ156" i="5"/>
  <c r="CA156" i="5" s="1"/>
  <c r="AH156" i="5"/>
  <c r="AK156" i="5" s="1"/>
  <c r="AL156" i="5" s="1"/>
  <c r="C147" i="7"/>
  <c r="Z157" i="5"/>
  <c r="AD157" i="5"/>
  <c r="R157" i="5"/>
  <c r="S157" i="5" s="1"/>
  <c r="D147" i="7"/>
  <c r="B149" i="7" l="1"/>
  <c r="BI159" i="5"/>
  <c r="G149" i="7"/>
  <c r="F149" i="7"/>
  <c r="BW157" i="5"/>
  <c r="BU157" i="5"/>
  <c r="N157" i="5"/>
  <c r="AF157" i="5"/>
  <c r="BA157" i="5"/>
  <c r="AS157" i="5"/>
  <c r="BB157" i="5"/>
  <c r="C148" i="7"/>
  <c r="AD158" i="5"/>
  <c r="D148" i="7"/>
  <c r="Z158" i="5"/>
  <c r="AA158" i="5" s="1"/>
  <c r="CP157" i="5"/>
  <c r="T157" i="5"/>
  <c r="BR157" i="5"/>
  <c r="K147" i="7" s="1"/>
  <c r="AB157" i="5"/>
  <c r="CM157" i="5"/>
  <c r="CN157" i="5" s="1"/>
  <c r="BV157" i="5"/>
  <c r="BT157" i="5"/>
  <c r="CD157" i="5"/>
  <c r="BX157" i="5"/>
  <c r="CC157" i="5"/>
  <c r="CE157" i="5" s="1"/>
  <c r="BY157" i="5"/>
  <c r="B161" i="5"/>
  <c r="AA157" i="5"/>
  <c r="AE158" i="5" l="1"/>
  <c r="CB157" i="5"/>
  <c r="M147" i="7" s="1"/>
  <c r="BZ157" i="5"/>
  <c r="CA157" i="5" s="1"/>
  <c r="B162" i="5"/>
  <c r="BV158" i="5"/>
  <c r="CC158" i="5"/>
  <c r="CE158" i="5" s="1"/>
  <c r="CD158" i="5"/>
  <c r="N158" i="5"/>
  <c r="BW158" i="5"/>
  <c r="AF158" i="5"/>
  <c r="AH158" i="5" s="1"/>
  <c r="R158" i="5"/>
  <c r="B150" i="7"/>
  <c r="G150" i="7"/>
  <c r="BI160" i="5"/>
  <c r="F150" i="7"/>
  <c r="S158" i="5"/>
  <c r="T158" i="5" s="1"/>
  <c r="C149" i="7"/>
  <c r="AD159" i="5"/>
  <c r="R159" i="5"/>
  <c r="D149" i="7"/>
  <c r="CP158" i="5"/>
  <c r="AB158" i="5"/>
  <c r="CM158" i="5"/>
  <c r="CN158" i="5" s="1"/>
  <c r="Z159" i="5"/>
  <c r="AA159" i="5" s="1"/>
  <c r="AE157" i="5"/>
  <c r="AH157" i="5" s="1"/>
  <c r="AK157" i="5" s="1"/>
  <c r="AL157" i="5" s="1"/>
  <c r="AE159" i="5" l="1"/>
  <c r="AK158" i="5"/>
  <c r="AL158" i="5" s="1"/>
  <c r="BU159" i="5"/>
  <c r="N159" i="5"/>
  <c r="BA159" i="5"/>
  <c r="AF159" i="5"/>
  <c r="AH159" i="5" s="1"/>
  <c r="BB159" i="5"/>
  <c r="AS159" i="5"/>
  <c r="B151" i="7"/>
  <c r="F151" i="7"/>
  <c r="BI161" i="5"/>
  <c r="G151" i="7"/>
  <c r="C150" i="7"/>
  <c r="R160" i="5"/>
  <c r="D150" i="7"/>
  <c r="S159" i="5"/>
  <c r="B163" i="5"/>
  <c r="AD160" i="5"/>
  <c r="BT159" i="5"/>
  <c r="BY159" i="5"/>
  <c r="BX159" i="5"/>
  <c r="CP159" i="5"/>
  <c r="T159" i="5"/>
  <c r="CM159" i="5"/>
  <c r="CN159" i="5" s="1"/>
  <c r="AB159" i="5"/>
  <c r="BR159" i="5"/>
  <c r="K149" i="7" s="1"/>
  <c r="Z160" i="5"/>
  <c r="AK159" i="5" l="1"/>
  <c r="AL159" i="5" s="1"/>
  <c r="CB159" i="5"/>
  <c r="M149" i="7" s="1"/>
  <c r="BZ159" i="5"/>
  <c r="CA159" i="5" s="1"/>
  <c r="BW160" i="5"/>
  <c r="N160" i="5"/>
  <c r="BU160" i="5"/>
  <c r="BA160" i="5"/>
  <c r="AS160" i="5"/>
  <c r="BB160" i="5"/>
  <c r="AF160" i="5"/>
  <c r="C151" i="7"/>
  <c r="Z161" i="5"/>
  <c r="D151" i="7"/>
  <c r="R161" i="5"/>
  <c r="B164" i="5"/>
  <c r="BT160" i="5"/>
  <c r="BV160" i="5"/>
  <c r="CC160" i="5"/>
  <c r="CE160" i="5" s="1"/>
  <c r="CD160" i="5"/>
  <c r="BY160" i="5"/>
  <c r="BX160" i="5"/>
  <c r="S160" i="5"/>
  <c r="T160" i="5" s="1"/>
  <c r="AD161" i="5"/>
  <c r="B152" i="7"/>
  <c r="BI162" i="5"/>
  <c r="G152" i="7"/>
  <c r="F152" i="7"/>
  <c r="CP160" i="5"/>
  <c r="CM160" i="5"/>
  <c r="CN160" i="5" s="1"/>
  <c r="AB160" i="5"/>
  <c r="BR160" i="5"/>
  <c r="K150" i="7" s="1"/>
  <c r="AA160" i="5"/>
  <c r="C153" i="7" l="1"/>
  <c r="D153" i="7"/>
  <c r="R163" i="5"/>
  <c r="BR163" i="5"/>
  <c r="K153" i="7" s="1"/>
  <c r="B165" i="5"/>
  <c r="B166" i="5" s="1"/>
  <c r="CB160" i="5"/>
  <c r="M150" i="7" s="1"/>
  <c r="BZ160" i="5"/>
  <c r="CA160" i="5" s="1"/>
  <c r="AA161" i="5"/>
  <c r="CP161" i="5"/>
  <c r="BR161" i="5"/>
  <c r="K151" i="7" s="1"/>
  <c r="CM161" i="5"/>
  <c r="CN161" i="5" s="1"/>
  <c r="AB161" i="5"/>
  <c r="S161" i="5"/>
  <c r="T161" i="5" s="1"/>
  <c r="BV161" i="5"/>
  <c r="BT161" i="5"/>
  <c r="CC161" i="5"/>
  <c r="CE161" i="5" s="1"/>
  <c r="CD161" i="5"/>
  <c r="BY161" i="5"/>
  <c r="BX161" i="5"/>
  <c r="B153" i="7"/>
  <c r="G153" i="7"/>
  <c r="AB163" i="5"/>
  <c r="Z163" i="5"/>
  <c r="AD163" i="5"/>
  <c r="BI163" i="5"/>
  <c r="F153" i="7"/>
  <c r="AE160" i="5"/>
  <c r="AH160" i="5" s="1"/>
  <c r="AK160" i="5" s="1"/>
  <c r="AL160" i="5" s="1"/>
  <c r="C152" i="7"/>
  <c r="AD162" i="5"/>
  <c r="D152" i="7"/>
  <c r="Z162" i="5"/>
  <c r="AA162" i="5" s="1"/>
  <c r="N161" i="5"/>
  <c r="BW161" i="5"/>
  <c r="BU161" i="5"/>
  <c r="AS161" i="5"/>
  <c r="BB161" i="5"/>
  <c r="AF161" i="5"/>
  <c r="BA161" i="5"/>
  <c r="AE162" i="5" l="1"/>
  <c r="C154" i="7"/>
  <c r="AF164" i="5"/>
  <c r="AB164" i="5"/>
  <c r="R164" i="5"/>
  <c r="S164" i="5" s="1"/>
  <c r="AS163" i="5"/>
  <c r="S163" i="5"/>
  <c r="BY163" i="5"/>
  <c r="AF163" i="5"/>
  <c r="BA163" i="5"/>
  <c r="BB163" i="5"/>
  <c r="B154" i="7"/>
  <c r="BR164" i="5"/>
  <c r="BI164" i="5"/>
  <c r="BI7" i="5" s="1"/>
  <c r="BA164" i="5"/>
  <c r="BX164" i="5"/>
  <c r="CB164" i="5" s="1"/>
  <c r="F154" i="7"/>
  <c r="CM164" i="5"/>
  <c r="Z164" i="5"/>
  <c r="BY164" i="5"/>
  <c r="G154" i="7"/>
  <c r="P17" i="1"/>
  <c r="P18" i="1"/>
  <c r="Q17" i="1"/>
  <c r="Q18" i="1"/>
  <c r="Q19" i="1"/>
  <c r="P19" i="1"/>
  <c r="P21" i="1"/>
  <c r="Q20" i="1"/>
  <c r="P20" i="1"/>
  <c r="Q21" i="1"/>
  <c r="Q23" i="1"/>
  <c r="Q22" i="1"/>
  <c r="P23" i="1"/>
  <c r="P22" i="1"/>
  <c r="Q24" i="1"/>
  <c r="P24" i="1"/>
  <c r="P26" i="1"/>
  <c r="Q25" i="1"/>
  <c r="P25" i="1"/>
  <c r="Q28" i="1"/>
  <c r="Q26" i="1"/>
  <c r="P27" i="1"/>
  <c r="P28" i="1"/>
  <c r="Q27" i="1"/>
  <c r="BT163" i="5"/>
  <c r="BV163" i="5"/>
  <c r="T163" i="5"/>
  <c r="CP163" i="5"/>
  <c r="CD163" i="5"/>
  <c r="CC163" i="5"/>
  <c r="CE163" i="5" s="1"/>
  <c r="CB161" i="5"/>
  <c r="M151" i="7" s="1"/>
  <c r="BZ161" i="5"/>
  <c r="CA161" i="5" s="1"/>
  <c r="CP162" i="5"/>
  <c r="BR162" i="5"/>
  <c r="K152" i="7" s="1"/>
  <c r="CM162" i="5"/>
  <c r="CN162" i="5" s="1"/>
  <c r="AB162" i="5"/>
  <c r="AA163" i="5"/>
  <c r="N163" i="5"/>
  <c r="BU163" i="5"/>
  <c r="BW163" i="5"/>
  <c r="BU162" i="5"/>
  <c r="BW162" i="5"/>
  <c r="N162" i="5"/>
  <c r="BA162" i="5"/>
  <c r="BB162" i="5"/>
  <c r="AS162" i="5"/>
  <c r="AF162" i="5"/>
  <c r="AH162" i="5" s="1"/>
  <c r="AK162" i="5" s="1"/>
  <c r="AL162" i="5" s="1"/>
  <c r="R162" i="5"/>
  <c r="S162" i="5" s="1"/>
  <c r="T162" i="5" s="1"/>
  <c r="BT162" i="5"/>
  <c r="BV162" i="5"/>
  <c r="BX162" i="5"/>
  <c r="CD162" i="5"/>
  <c r="CC162" i="5"/>
  <c r="CE162" i="5" s="1"/>
  <c r="BY162" i="5"/>
  <c r="BX163" i="5"/>
  <c r="CM163" i="5"/>
  <c r="AE161" i="5"/>
  <c r="AH161" i="5" s="1"/>
  <c r="AK161" i="5" s="1"/>
  <c r="AL161" i="5" s="1"/>
  <c r="CN163" i="5" l="1"/>
  <c r="AB7" i="5"/>
  <c r="AF7" i="5"/>
  <c r="AF8" i="5"/>
  <c r="BZ164" i="5"/>
  <c r="AA164" i="5"/>
  <c r="CB163" i="5"/>
  <c r="M153" i="7" s="1"/>
  <c r="BZ163" i="5"/>
  <c r="CA163" i="5" s="1"/>
  <c r="C36" i="2"/>
  <c r="C35" i="2"/>
  <c r="M154" i="7"/>
  <c r="N164" i="5"/>
  <c r="BU164" i="5"/>
  <c r="BU7" i="5" s="1"/>
  <c r="AJ8" i="5"/>
  <c r="AD164" i="5"/>
  <c r="AE164" i="5" s="1"/>
  <c r="BB164" i="5"/>
  <c r="BB7" i="5" s="1"/>
  <c r="AI7" i="5"/>
  <c r="BT164" i="5"/>
  <c r="BT7" i="5" s="1"/>
  <c r="C31" i="2"/>
  <c r="C30" i="2"/>
  <c r="P9" i="1"/>
  <c r="AS164" i="5"/>
  <c r="AS7" i="5" s="1"/>
  <c r="AE163" i="5"/>
  <c r="AH163" i="5" s="1"/>
  <c r="AK163" i="5" s="1"/>
  <c r="AL163" i="5" s="1"/>
  <c r="Q9" i="1"/>
  <c r="BY7" i="5"/>
  <c r="BA7" i="5"/>
  <c r="K154" i="7"/>
  <c r="BR7" i="5"/>
  <c r="R7" i="5"/>
  <c r="AE3" i="5"/>
  <c r="C44" i="3" s="1"/>
  <c r="C45" i="3" s="1"/>
  <c r="S3" i="4" s="1"/>
  <c r="S4" i="4" s="1"/>
  <c r="C25" i="2"/>
  <c r="C26" i="2"/>
  <c r="CB162" i="5"/>
  <c r="M152" i="7" s="1"/>
  <c r="BZ162" i="5"/>
  <c r="CA162" i="5" s="1"/>
  <c r="CN164" i="5"/>
  <c r="I35" i="1" s="1"/>
  <c r="F38" i="1" s="1"/>
  <c r="CP164" i="5"/>
  <c r="T164" i="5"/>
  <c r="Z7" i="5"/>
  <c r="S7" i="5"/>
  <c r="AI8" i="5"/>
  <c r="S8" i="5"/>
  <c r="CE8" i="5"/>
  <c r="BX7" i="5"/>
  <c r="BW8" i="5"/>
  <c r="BG7" i="5"/>
  <c r="AE7" i="5"/>
  <c r="X7" i="5"/>
  <c r="BH7" i="5"/>
  <c r="Y8" i="5"/>
  <c r="BO6" i="5"/>
  <c r="X5" i="5"/>
  <c r="CE6" i="5"/>
  <c r="AR6" i="5"/>
  <c r="CD6" i="5"/>
  <c r="AV6" i="5"/>
  <c r="W7" i="5"/>
  <c r="AJ5" i="5"/>
  <c r="W5" i="5"/>
  <c r="I7" i="5"/>
  <c r="I5" i="5"/>
  <c r="O5" i="5"/>
  <c r="AS6" i="5"/>
  <c r="BX6" i="5"/>
  <c r="BM6" i="5"/>
  <c r="BF6" i="5"/>
  <c r="CB5" i="5"/>
  <c r="BH6" i="5"/>
  <c r="AF5" i="5"/>
  <c r="AO6" i="5"/>
  <c r="Z6" i="5"/>
  <c r="BI8" i="5"/>
  <c r="AE5" i="5"/>
  <c r="BJ6" i="5"/>
  <c r="AM6" i="5"/>
  <c r="AT6" i="5"/>
  <c r="P8" i="5"/>
  <c r="CG6" i="5"/>
  <c r="BT5" i="5"/>
  <c r="CH6" i="5"/>
  <c r="AZ6" i="5"/>
  <c r="AY6" i="5"/>
  <c r="BZ6" i="5"/>
  <c r="BP6" i="5"/>
  <c r="Z8" i="5"/>
  <c r="R8" i="5"/>
  <c r="X6" i="5"/>
  <c r="I8" i="5"/>
  <c r="S6" i="5"/>
  <c r="AU6" i="5"/>
  <c r="AK6" i="5"/>
  <c r="CD8" i="5"/>
  <c r="CF6" i="5"/>
  <c r="BH5" i="5"/>
  <c r="R6" i="5"/>
  <c r="T8" i="5"/>
  <c r="Y7" i="5"/>
  <c r="I6" i="5"/>
  <c r="BU6" i="5"/>
  <c r="BW6" i="5"/>
  <c r="X8" i="5"/>
  <c r="T5" i="5"/>
  <c r="BW5" i="5"/>
  <c r="BZ5" i="5"/>
  <c r="BT6" i="5"/>
  <c r="C20" i="2"/>
  <c r="CE5" i="5"/>
  <c r="AK5" i="5"/>
  <c r="BG5" i="5"/>
  <c r="BD6" i="5"/>
  <c r="W6" i="5"/>
  <c r="P7" i="5"/>
  <c r="AF6" i="5"/>
  <c r="AP6" i="5"/>
  <c r="BE6" i="5"/>
  <c r="CB6" i="5"/>
  <c r="D20" i="2"/>
  <c r="CD5" i="5"/>
  <c r="BI6" i="5"/>
  <c r="AH6" i="5"/>
  <c r="W8" i="5"/>
  <c r="AA6" i="5"/>
  <c r="BY5" i="5"/>
  <c r="BY6" i="5"/>
  <c r="BA6" i="5"/>
  <c r="V6" i="5"/>
  <c r="BB6" i="5"/>
  <c r="BR6" i="5"/>
  <c r="AB8" i="5"/>
  <c r="AW6" i="5"/>
  <c r="AA5" i="5"/>
  <c r="BG8" i="5"/>
  <c r="AI5" i="5"/>
  <c r="CC5" i="5"/>
  <c r="BL6" i="5"/>
  <c r="P6" i="5"/>
  <c r="BU5" i="5"/>
  <c r="AB6" i="5"/>
  <c r="AE6" i="5"/>
  <c r="AG6" i="5"/>
  <c r="O8" i="5"/>
  <c r="T6" i="5"/>
  <c r="CC6" i="5"/>
  <c r="BX5" i="5"/>
  <c r="BI5" i="5"/>
  <c r="C21" i="2"/>
  <c r="AH5" i="5"/>
  <c r="AL5" i="5"/>
  <c r="C19" i="2"/>
  <c r="BQ6" i="5"/>
  <c r="AQ6" i="5"/>
  <c r="Y6" i="5"/>
  <c r="BC6" i="5"/>
  <c r="R5" i="5"/>
  <c r="AJ6" i="5"/>
  <c r="BG6" i="5"/>
  <c r="AN6" i="5"/>
  <c r="CA6" i="5"/>
  <c r="BK6" i="5"/>
  <c r="O6" i="5"/>
  <c r="Z5" i="5"/>
  <c r="S5" i="5"/>
  <c r="AX6" i="5"/>
  <c r="P5" i="5"/>
  <c r="BN6" i="5"/>
  <c r="BH8" i="5"/>
  <c r="E20" i="2"/>
  <c r="O7" i="5"/>
  <c r="AL6" i="5"/>
  <c r="Y5" i="5"/>
  <c r="AI6" i="5"/>
  <c r="AL8" i="5"/>
  <c r="AB69" i="5"/>
  <c r="AB72" i="5"/>
  <c r="AB88" i="5"/>
  <c r="AB98" i="5"/>
  <c r="AB115" i="5"/>
  <c r="D154" i="7"/>
  <c r="AJ12" i="5"/>
  <c r="AJ11" i="5"/>
  <c r="AL12" i="5"/>
  <c r="AL11" i="5"/>
  <c r="AI12" i="5"/>
  <c r="AI11" i="5"/>
  <c r="BI9" i="5" l="1"/>
  <c r="P9" i="5"/>
  <c r="P10" i="5" s="1"/>
  <c r="AI9" i="5"/>
  <c r="AG161" i="5"/>
  <c r="AG163" i="5"/>
  <c r="AG162" i="5"/>
  <c r="AG158" i="5"/>
  <c r="AG150" i="5"/>
  <c r="AG157" i="5"/>
  <c r="AG149" i="5"/>
  <c r="AG156" i="5"/>
  <c r="AG155" i="5"/>
  <c r="AG153" i="5"/>
  <c r="AG148" i="5"/>
  <c r="AG147" i="5"/>
  <c r="AG160" i="5"/>
  <c r="AG151" i="5"/>
  <c r="AG146" i="5"/>
  <c r="AG152" i="5"/>
  <c r="AG143" i="5"/>
  <c r="AG139" i="5"/>
  <c r="AG154" i="5"/>
  <c r="AG137" i="5"/>
  <c r="AG144" i="5"/>
  <c r="AG136" i="5"/>
  <c r="AG127" i="5"/>
  <c r="AG119" i="5"/>
  <c r="AG126" i="5"/>
  <c r="AG118" i="5"/>
  <c r="AG145" i="5"/>
  <c r="AG135" i="5"/>
  <c r="AG134" i="5"/>
  <c r="AG133" i="5"/>
  <c r="AG159" i="5"/>
  <c r="AG138" i="5"/>
  <c r="AG125" i="5"/>
  <c r="AG113" i="5"/>
  <c r="AG132" i="5"/>
  <c r="AG131" i="5"/>
  <c r="AG130" i="5"/>
  <c r="AG129" i="5"/>
  <c r="AG128" i="5"/>
  <c r="AG122" i="5"/>
  <c r="AG116" i="5"/>
  <c r="AG112" i="5"/>
  <c r="AG142" i="5"/>
  <c r="AG141" i="5"/>
  <c r="AG121" i="5"/>
  <c r="AG120" i="5"/>
  <c r="AG124" i="5"/>
  <c r="AG114" i="5"/>
  <c r="AG123" i="5"/>
  <c r="AG115" i="5"/>
  <c r="AG164" i="5"/>
  <c r="AG104" i="5"/>
  <c r="AG96" i="5"/>
  <c r="AG88" i="5"/>
  <c r="AG103" i="5"/>
  <c r="AG95" i="5"/>
  <c r="AG87" i="5"/>
  <c r="AG140" i="5"/>
  <c r="AG102" i="5"/>
  <c r="AG94" i="5"/>
  <c r="AG86" i="5"/>
  <c r="AG110" i="5"/>
  <c r="AG80" i="5"/>
  <c r="AG72" i="5"/>
  <c r="AG101" i="5"/>
  <c r="AG100" i="5"/>
  <c r="AG99" i="5"/>
  <c r="AG98" i="5"/>
  <c r="AG97" i="5"/>
  <c r="AG79" i="5"/>
  <c r="AG111" i="5"/>
  <c r="AG78" i="5"/>
  <c r="AG117" i="5"/>
  <c r="AG91" i="5"/>
  <c r="AG64" i="5"/>
  <c r="AG77" i="5"/>
  <c r="AG76" i="5"/>
  <c r="AG75" i="5"/>
  <c r="AG74" i="5"/>
  <c r="AG73" i="5"/>
  <c r="AG71" i="5"/>
  <c r="AG63" i="5"/>
  <c r="AG106" i="5"/>
  <c r="AG93" i="5"/>
  <c r="AG84" i="5"/>
  <c r="AG70" i="5"/>
  <c r="AG62" i="5"/>
  <c r="AG90" i="5"/>
  <c r="AG69" i="5"/>
  <c r="AG61" i="5"/>
  <c r="AG83" i="5"/>
  <c r="AG81" i="5"/>
  <c r="AG68" i="5"/>
  <c r="AG57" i="5"/>
  <c r="AG49" i="5"/>
  <c r="AG92" i="5"/>
  <c r="AG59" i="5"/>
  <c r="AG56" i="5"/>
  <c r="AG48" i="5"/>
  <c r="AG107" i="5"/>
  <c r="AG66" i="5"/>
  <c r="AG55" i="5"/>
  <c r="AG47" i="5"/>
  <c r="AG85" i="5"/>
  <c r="AG54" i="5"/>
  <c r="AG46" i="5"/>
  <c r="AG82" i="5"/>
  <c r="AG38" i="5"/>
  <c r="AG108" i="5"/>
  <c r="AG67" i="5"/>
  <c r="AG52" i="5"/>
  <c r="AG45" i="5"/>
  <c r="AG44" i="5"/>
  <c r="AG37" i="5"/>
  <c r="AG29" i="5"/>
  <c r="AG36" i="5"/>
  <c r="AG50" i="5"/>
  <c r="AG35" i="5"/>
  <c r="AG60" i="5"/>
  <c r="AG53" i="5"/>
  <c r="AG43" i="5"/>
  <c r="AG42" i="5"/>
  <c r="AG34" i="5"/>
  <c r="AG89" i="5"/>
  <c r="AG65" i="5"/>
  <c r="AG39" i="5"/>
  <c r="AG28" i="5"/>
  <c r="AG20" i="5"/>
  <c r="AG32" i="5"/>
  <c r="AG27" i="5"/>
  <c r="AG19" i="5"/>
  <c r="AG26" i="5"/>
  <c r="AG109" i="5"/>
  <c r="AG105" i="5"/>
  <c r="AG51" i="5"/>
  <c r="AG31" i="5"/>
  <c r="AG25" i="5"/>
  <c r="AG41" i="5"/>
  <c r="AG24" i="5"/>
  <c r="AG40" i="5"/>
  <c r="AG58" i="5"/>
  <c r="AG17" i="5"/>
  <c r="AG22" i="5"/>
  <c r="AG16" i="5"/>
  <c r="AG33" i="5"/>
  <c r="AG23" i="5"/>
  <c r="AG30" i="5"/>
  <c r="AG18" i="5"/>
  <c r="AG21" i="5"/>
  <c r="AF9" i="5"/>
  <c r="W9" i="5"/>
  <c r="X9" i="5"/>
  <c r="T7" i="5"/>
  <c r="T9" i="5" s="1"/>
  <c r="S17" i="4"/>
  <c r="S14" i="4"/>
  <c r="S18" i="4"/>
  <c r="S15" i="4"/>
  <c r="S22" i="4"/>
  <c r="S23" i="4"/>
  <c r="S20" i="4"/>
  <c r="S24" i="4"/>
  <c r="S16" i="4"/>
  <c r="AB5" i="5"/>
  <c r="AB9" i="5" s="1"/>
  <c r="S9" i="5"/>
  <c r="S10" i="5" s="1"/>
  <c r="E50" i="2"/>
  <c r="D54" i="2"/>
  <c r="G64" i="2" s="1"/>
  <c r="D50" i="2"/>
  <c r="G60" i="2" s="1"/>
  <c r="D53" i="2"/>
  <c r="G63" i="2" s="1"/>
  <c r="Z9" i="5"/>
  <c r="R9" i="5"/>
  <c r="R10" i="5" s="1"/>
  <c r="BH9" i="5"/>
  <c r="G38" i="1"/>
  <c r="H38" i="1" s="1"/>
  <c r="F39" i="1"/>
  <c r="AA8" i="5"/>
  <c r="AA7" i="5"/>
  <c r="BZ7" i="5"/>
  <c r="CA164" i="5"/>
  <c r="O9" i="5"/>
  <c r="O10" i="5" s="1"/>
  <c r="CB7" i="5"/>
  <c r="Y9" i="5"/>
  <c r="BG9" i="5"/>
  <c r="I9" i="5"/>
  <c r="AH164" i="5"/>
  <c r="AE8" i="5"/>
  <c r="AE9" i="5" s="1"/>
  <c r="AA9" i="5" l="1"/>
  <c r="T10" i="5"/>
  <c r="U21" i="5"/>
  <c r="V21" i="5" s="1"/>
  <c r="AM21" i="5" s="1"/>
  <c r="U32" i="5"/>
  <c r="V32" i="5" s="1"/>
  <c r="AM32" i="5" s="1"/>
  <c r="U27" i="5"/>
  <c r="V27" i="5" s="1"/>
  <c r="AM27" i="5" s="1"/>
  <c r="U39" i="5"/>
  <c r="V39" i="5" s="1"/>
  <c r="AM39" i="5" s="1"/>
  <c r="U29" i="5"/>
  <c r="V29" i="5" s="1"/>
  <c r="AM29" i="5" s="1"/>
  <c r="U44" i="5"/>
  <c r="V44" i="5" s="1"/>
  <c r="AM44" i="5" s="1"/>
  <c r="U37" i="5"/>
  <c r="V37" i="5" s="1"/>
  <c r="AM37" i="5" s="1"/>
  <c r="U16" i="5"/>
  <c r="U38" i="5"/>
  <c r="V38" i="5" s="1"/>
  <c r="AM38" i="5" s="1"/>
  <c r="U35" i="5"/>
  <c r="V35" i="5" s="1"/>
  <c r="AM35" i="5" s="1"/>
  <c r="U41" i="5"/>
  <c r="V41" i="5" s="1"/>
  <c r="AM41" i="5" s="1"/>
  <c r="U23" i="5"/>
  <c r="V23" i="5" s="1"/>
  <c r="AM23" i="5" s="1"/>
  <c r="U43" i="5"/>
  <c r="V43" i="5" s="1"/>
  <c r="AM43" i="5" s="1"/>
  <c r="U33" i="5"/>
  <c r="V33" i="5" s="1"/>
  <c r="AM33" i="5" s="1"/>
  <c r="U31" i="5"/>
  <c r="V31" i="5" s="1"/>
  <c r="AM31" i="5" s="1"/>
  <c r="U42" i="5"/>
  <c r="V42" i="5" s="1"/>
  <c r="AM42" i="5" s="1"/>
  <c r="U40" i="5"/>
  <c r="V40" i="5" s="1"/>
  <c r="AM40" i="5" s="1"/>
  <c r="U22" i="5"/>
  <c r="V22" i="5" s="1"/>
  <c r="AM22" i="5" s="1"/>
  <c r="U20" i="5"/>
  <c r="V20" i="5" s="1"/>
  <c r="AM20" i="5" s="1"/>
  <c r="U18" i="5"/>
  <c r="V18" i="5" s="1"/>
  <c r="AM18" i="5" s="1"/>
  <c r="U25" i="5"/>
  <c r="V25" i="5" s="1"/>
  <c r="AM25" i="5" s="1"/>
  <c r="U19" i="5"/>
  <c r="V19" i="5" s="1"/>
  <c r="AM19" i="5" s="1"/>
  <c r="U24" i="5"/>
  <c r="V24" i="5" s="1"/>
  <c r="AM24" i="5" s="1"/>
  <c r="U36" i="5"/>
  <c r="V36" i="5" s="1"/>
  <c r="AM36" i="5" s="1"/>
  <c r="U30" i="5"/>
  <c r="V30" i="5" s="1"/>
  <c r="AM30" i="5" s="1"/>
  <c r="U34" i="5"/>
  <c r="V34" i="5" s="1"/>
  <c r="AM34" i="5" s="1"/>
  <c r="U28" i="5"/>
  <c r="V28" i="5" s="1"/>
  <c r="AM28" i="5" s="1"/>
  <c r="U17" i="5"/>
  <c r="V17" i="5" s="1"/>
  <c r="AM17" i="5" s="1"/>
  <c r="U26" i="5"/>
  <c r="V26" i="5" s="1"/>
  <c r="U45" i="5"/>
  <c r="V45" i="5" s="1"/>
  <c r="AM45" i="5" s="1"/>
  <c r="U47" i="5"/>
  <c r="V47" i="5" s="1"/>
  <c r="AM47" i="5" s="1"/>
  <c r="U46" i="5"/>
  <c r="V46" i="5" s="1"/>
  <c r="AM46" i="5" s="1"/>
  <c r="U48" i="5"/>
  <c r="V48" i="5" s="1"/>
  <c r="AM48" i="5" s="1"/>
  <c r="U49" i="5"/>
  <c r="V49" i="5" s="1"/>
  <c r="AM49" i="5" s="1"/>
  <c r="U50" i="5"/>
  <c r="V50" i="5" s="1"/>
  <c r="AM50" i="5" s="1"/>
  <c r="U51" i="5"/>
  <c r="V51" i="5" s="1"/>
  <c r="AM51" i="5" s="1"/>
  <c r="U53" i="5"/>
  <c r="V53" i="5" s="1"/>
  <c r="AM53" i="5" s="1"/>
  <c r="U52" i="5"/>
  <c r="V52" i="5" s="1"/>
  <c r="AM52" i="5" s="1"/>
  <c r="U54" i="5"/>
  <c r="V54" i="5" s="1"/>
  <c r="AM54" i="5" s="1"/>
  <c r="U56" i="5"/>
  <c r="V56" i="5" s="1"/>
  <c r="AM56" i="5" s="1"/>
  <c r="U55" i="5"/>
  <c r="V55" i="5" s="1"/>
  <c r="AM55" i="5" s="1"/>
  <c r="U57" i="5"/>
  <c r="V57" i="5" s="1"/>
  <c r="AM57" i="5" s="1"/>
  <c r="U58" i="5"/>
  <c r="V58" i="5" s="1"/>
  <c r="AM58" i="5" s="1"/>
  <c r="U59" i="5"/>
  <c r="V59" i="5" s="1"/>
  <c r="AM59" i="5" s="1"/>
  <c r="U60" i="5"/>
  <c r="V60" i="5" s="1"/>
  <c r="AM60" i="5" s="1"/>
  <c r="U61" i="5"/>
  <c r="V61" i="5" s="1"/>
  <c r="AM61" i="5" s="1"/>
  <c r="U62" i="5"/>
  <c r="V62" i="5" s="1"/>
  <c r="AM62" i="5" s="1"/>
  <c r="U63" i="5"/>
  <c r="V63" i="5" s="1"/>
  <c r="AM63" i="5" s="1"/>
  <c r="U64" i="5"/>
  <c r="V64" i="5" s="1"/>
  <c r="AM64" i="5" s="1"/>
  <c r="U65" i="5"/>
  <c r="V65" i="5" s="1"/>
  <c r="AM65" i="5" s="1"/>
  <c r="U66" i="5"/>
  <c r="V66" i="5" s="1"/>
  <c r="AM66" i="5" s="1"/>
  <c r="U67" i="5"/>
  <c r="V67" i="5" s="1"/>
  <c r="AM67" i="5" s="1"/>
  <c r="U68" i="5"/>
  <c r="V68" i="5" s="1"/>
  <c r="AM68" i="5" s="1"/>
  <c r="U70" i="5"/>
  <c r="V70" i="5" s="1"/>
  <c r="AM70" i="5" s="1"/>
  <c r="U69" i="5"/>
  <c r="V69" i="5" s="1"/>
  <c r="U72" i="5"/>
  <c r="V72" i="5" s="1"/>
  <c r="AM72" i="5" s="1"/>
  <c r="U71" i="5"/>
  <c r="V71" i="5" s="1"/>
  <c r="AM71" i="5" s="1"/>
  <c r="U73" i="5"/>
  <c r="V73" i="5" s="1"/>
  <c r="AM73" i="5" s="1"/>
  <c r="U74" i="5"/>
  <c r="V74" i="5" s="1"/>
  <c r="AM74" i="5" s="1"/>
  <c r="U75" i="5"/>
  <c r="V75" i="5" s="1"/>
  <c r="AM75" i="5" s="1"/>
  <c r="U76" i="5"/>
  <c r="V76" i="5" s="1"/>
  <c r="AM76" i="5" s="1"/>
  <c r="U78" i="5"/>
  <c r="V78" i="5" s="1"/>
  <c r="AM78" i="5" s="1"/>
  <c r="U77" i="5"/>
  <c r="V77" i="5" s="1"/>
  <c r="AM77" i="5" s="1"/>
  <c r="U79" i="5"/>
  <c r="V79" i="5" s="1"/>
  <c r="AM79" i="5" s="1"/>
  <c r="U80" i="5"/>
  <c r="V80" i="5" s="1"/>
  <c r="AM80" i="5" s="1"/>
  <c r="U81" i="5"/>
  <c r="V81" i="5" s="1"/>
  <c r="AM81" i="5" s="1"/>
  <c r="U83" i="5"/>
  <c r="V83" i="5" s="1"/>
  <c r="AM83" i="5" s="1"/>
  <c r="U82" i="5"/>
  <c r="V82" i="5" s="1"/>
  <c r="AM82" i="5" s="1"/>
  <c r="U84" i="5"/>
  <c r="V84" i="5" s="1"/>
  <c r="AM84" i="5" s="1"/>
  <c r="U85" i="5"/>
  <c r="V85" i="5" s="1"/>
  <c r="AM85" i="5" s="1"/>
  <c r="U86" i="5"/>
  <c r="V86" i="5" s="1"/>
  <c r="AM86" i="5" s="1"/>
  <c r="U87" i="5"/>
  <c r="V87" i="5" s="1"/>
  <c r="AM87" i="5" s="1"/>
  <c r="U89" i="5"/>
  <c r="V89" i="5" s="1"/>
  <c r="AM89" i="5" s="1"/>
  <c r="U88" i="5"/>
  <c r="V88" i="5" s="1"/>
  <c r="AM88" i="5" s="1"/>
  <c r="U90" i="5"/>
  <c r="V90" i="5" s="1"/>
  <c r="AM90" i="5" s="1"/>
  <c r="U91" i="5"/>
  <c r="V91" i="5" s="1"/>
  <c r="AM91" i="5" s="1"/>
  <c r="U92" i="5"/>
  <c r="V92" i="5" s="1"/>
  <c r="AM92" i="5" s="1"/>
  <c r="U94" i="5"/>
  <c r="V94" i="5" s="1"/>
  <c r="AM94" i="5" s="1"/>
  <c r="U93" i="5"/>
  <c r="V93" i="5" s="1"/>
  <c r="AM93" i="5" s="1"/>
  <c r="U95" i="5"/>
  <c r="V95" i="5" s="1"/>
  <c r="AM95" i="5" s="1"/>
  <c r="U97" i="5"/>
  <c r="V97" i="5" s="1"/>
  <c r="AM97" i="5" s="1"/>
  <c r="U96" i="5"/>
  <c r="V96" i="5" s="1"/>
  <c r="AM96" i="5" s="1"/>
  <c r="U98" i="5"/>
  <c r="V98" i="5" s="1"/>
  <c r="AM98" i="5" s="1"/>
  <c r="U100" i="5"/>
  <c r="V100" i="5" s="1"/>
  <c r="AM100" i="5" s="1"/>
  <c r="U99" i="5"/>
  <c r="V99" i="5" s="1"/>
  <c r="AM99" i="5" s="1"/>
  <c r="U101" i="5"/>
  <c r="V101" i="5" s="1"/>
  <c r="AM101" i="5" s="1"/>
  <c r="U102" i="5"/>
  <c r="V102" i="5" s="1"/>
  <c r="AM102" i="5" s="1"/>
  <c r="U103" i="5"/>
  <c r="V103" i="5" s="1"/>
  <c r="AM103" i="5" s="1"/>
  <c r="U105" i="5"/>
  <c r="V105" i="5" s="1"/>
  <c r="AM105" i="5" s="1"/>
  <c r="U104" i="5"/>
  <c r="V104" i="5" s="1"/>
  <c r="AM104" i="5" s="1"/>
  <c r="U106" i="5"/>
  <c r="V106" i="5" s="1"/>
  <c r="AM106" i="5" s="1"/>
  <c r="U107" i="5"/>
  <c r="V107" i="5" s="1"/>
  <c r="AM107" i="5" s="1"/>
  <c r="U108" i="5"/>
  <c r="V108" i="5" s="1"/>
  <c r="AM108" i="5" s="1"/>
  <c r="U109" i="5"/>
  <c r="V109" i="5" s="1"/>
  <c r="AM109" i="5" s="1"/>
  <c r="U110" i="5"/>
  <c r="V110" i="5" s="1"/>
  <c r="AM110" i="5" s="1"/>
  <c r="U112" i="5"/>
  <c r="V112" i="5" s="1"/>
  <c r="AM112" i="5" s="1"/>
  <c r="U111" i="5"/>
  <c r="V111" i="5" s="1"/>
  <c r="AM111" i="5" s="1"/>
  <c r="U113" i="5"/>
  <c r="V113" i="5" s="1"/>
  <c r="AM113" i="5" s="1"/>
  <c r="U114" i="5"/>
  <c r="V114" i="5" s="1"/>
  <c r="AM114" i="5" s="1"/>
  <c r="U115" i="5"/>
  <c r="V115" i="5" s="1"/>
  <c r="AM115" i="5" s="1"/>
  <c r="U116" i="5"/>
  <c r="V116" i="5" s="1"/>
  <c r="AM116" i="5" s="1"/>
  <c r="U117" i="5"/>
  <c r="V117" i="5" s="1"/>
  <c r="AM117" i="5" s="1"/>
  <c r="U119" i="5"/>
  <c r="V119" i="5" s="1"/>
  <c r="AM119" i="5" s="1"/>
  <c r="U118" i="5"/>
  <c r="V118" i="5" s="1"/>
  <c r="AM118" i="5" s="1"/>
  <c r="U120" i="5"/>
  <c r="V120" i="5" s="1"/>
  <c r="AM120" i="5" s="1"/>
  <c r="U121" i="5"/>
  <c r="V121" i="5" s="1"/>
  <c r="AM121" i="5" s="1"/>
  <c r="U122" i="5"/>
  <c r="V122" i="5" s="1"/>
  <c r="AM122" i="5" s="1"/>
  <c r="U123" i="5"/>
  <c r="V123" i="5" s="1"/>
  <c r="AM123" i="5" s="1"/>
  <c r="U125" i="5"/>
  <c r="V125" i="5" s="1"/>
  <c r="AM125" i="5" s="1"/>
  <c r="U124" i="5"/>
  <c r="V124" i="5" s="1"/>
  <c r="AM124" i="5" s="1"/>
  <c r="U126" i="5"/>
  <c r="V126" i="5" s="1"/>
  <c r="AM126" i="5" s="1"/>
  <c r="U127" i="5"/>
  <c r="V127" i="5" s="1"/>
  <c r="AM127" i="5" s="1"/>
  <c r="U128" i="5"/>
  <c r="V128" i="5" s="1"/>
  <c r="AM128" i="5" s="1"/>
  <c r="U130" i="5"/>
  <c r="V130" i="5" s="1"/>
  <c r="AM130" i="5" s="1"/>
  <c r="U129" i="5"/>
  <c r="V129" i="5" s="1"/>
  <c r="AM129" i="5" s="1"/>
  <c r="U131" i="5"/>
  <c r="V131" i="5" s="1"/>
  <c r="AM131" i="5" s="1"/>
  <c r="U132" i="5"/>
  <c r="V132" i="5" s="1"/>
  <c r="AM132" i="5" s="1"/>
  <c r="U133" i="5"/>
  <c r="V133" i="5" s="1"/>
  <c r="AM133" i="5" s="1"/>
  <c r="U134" i="5"/>
  <c r="V134" i="5" s="1"/>
  <c r="AM134" i="5" s="1"/>
  <c r="U135" i="5"/>
  <c r="V135" i="5" s="1"/>
  <c r="AM135" i="5" s="1"/>
  <c r="U136" i="5"/>
  <c r="V136" i="5" s="1"/>
  <c r="AM136" i="5" s="1"/>
  <c r="U137" i="5"/>
  <c r="V137" i="5" s="1"/>
  <c r="AM137" i="5" s="1"/>
  <c r="U138" i="5"/>
  <c r="V138" i="5" s="1"/>
  <c r="AM138" i="5" s="1"/>
  <c r="U139" i="5"/>
  <c r="V139" i="5" s="1"/>
  <c r="AM139" i="5" s="1"/>
  <c r="U141" i="5"/>
  <c r="V141" i="5" s="1"/>
  <c r="AM141" i="5" s="1"/>
  <c r="U140" i="5"/>
  <c r="V140" i="5" s="1"/>
  <c r="AM140" i="5" s="1"/>
  <c r="U143" i="5"/>
  <c r="V143" i="5" s="1"/>
  <c r="AM143" i="5" s="1"/>
  <c r="U142" i="5"/>
  <c r="V142" i="5" s="1"/>
  <c r="AM142" i="5" s="1"/>
  <c r="U144" i="5"/>
  <c r="V144" i="5" s="1"/>
  <c r="AM144" i="5" s="1"/>
  <c r="U146" i="5"/>
  <c r="V146" i="5" s="1"/>
  <c r="AM146" i="5" s="1"/>
  <c r="U145" i="5"/>
  <c r="V145" i="5" s="1"/>
  <c r="AM145" i="5" s="1"/>
  <c r="U147" i="5"/>
  <c r="V147" i="5" s="1"/>
  <c r="AM147" i="5" s="1"/>
  <c r="U148" i="5"/>
  <c r="V148" i="5" s="1"/>
  <c r="AM148" i="5" s="1"/>
  <c r="U149" i="5"/>
  <c r="V149" i="5" s="1"/>
  <c r="AM149" i="5" s="1"/>
  <c r="U150" i="5"/>
  <c r="V150" i="5" s="1"/>
  <c r="AM150" i="5" s="1"/>
  <c r="U151" i="5"/>
  <c r="V151" i="5" s="1"/>
  <c r="AM151" i="5" s="1"/>
  <c r="U152" i="5"/>
  <c r="V152" i="5" s="1"/>
  <c r="AM152" i="5" s="1"/>
  <c r="U153" i="5"/>
  <c r="V153" i="5" s="1"/>
  <c r="AM153" i="5" s="1"/>
  <c r="U154" i="5"/>
  <c r="V154" i="5" s="1"/>
  <c r="AM154" i="5" s="1"/>
  <c r="U155" i="5"/>
  <c r="V155" i="5" s="1"/>
  <c r="AM155" i="5" s="1"/>
  <c r="U156" i="5"/>
  <c r="V156" i="5" s="1"/>
  <c r="AM156" i="5" s="1"/>
  <c r="U157" i="5"/>
  <c r="V157" i="5" s="1"/>
  <c r="AM157" i="5" s="1"/>
  <c r="U158" i="5"/>
  <c r="V158" i="5" s="1"/>
  <c r="AM158" i="5" s="1"/>
  <c r="U159" i="5"/>
  <c r="V159" i="5" s="1"/>
  <c r="AM159" i="5" s="1"/>
  <c r="U160" i="5"/>
  <c r="V160" i="5" s="1"/>
  <c r="AM160" i="5" s="1"/>
  <c r="U161" i="5"/>
  <c r="V161" i="5" s="1"/>
  <c r="AM161" i="5" s="1"/>
  <c r="U163" i="5"/>
  <c r="V163" i="5" s="1"/>
  <c r="AM163" i="5" s="1"/>
  <c r="U162" i="5"/>
  <c r="V162" i="5" s="1"/>
  <c r="AM162" i="5" s="1"/>
  <c r="U164" i="5"/>
  <c r="V164" i="5" s="1"/>
  <c r="T20" i="4"/>
  <c r="J23" i="1"/>
  <c r="AG7" i="5"/>
  <c r="AH7" i="5"/>
  <c r="AH8" i="5"/>
  <c r="N38" i="1"/>
  <c r="K38" i="1"/>
  <c r="I38" i="1"/>
  <c r="T23" i="4"/>
  <c r="J26" i="1"/>
  <c r="T22" i="4"/>
  <c r="J25" i="1"/>
  <c r="T15" i="4"/>
  <c r="J18" i="1"/>
  <c r="T18" i="4"/>
  <c r="J21" i="1"/>
  <c r="AG8" i="5"/>
  <c r="T14" i="4"/>
  <c r="S6" i="4"/>
  <c r="S7" i="4" s="1"/>
  <c r="S8" i="4" s="1"/>
  <c r="J17" i="1"/>
  <c r="T16" i="4"/>
  <c r="J19" i="1"/>
  <c r="T17" i="4"/>
  <c r="J20" i="1"/>
  <c r="F40" i="1"/>
  <c r="G39" i="1"/>
  <c r="T24" i="4"/>
  <c r="J27" i="1"/>
  <c r="AG5" i="5"/>
  <c r="AH9" i="5" l="1"/>
  <c r="J9" i="1"/>
  <c r="Y14" i="4"/>
  <c r="U14" i="4"/>
  <c r="AA14" i="4"/>
  <c r="T6" i="4"/>
  <c r="V14" i="4"/>
  <c r="AK164" i="5"/>
  <c r="AJ7" i="5"/>
  <c r="AJ9" i="5" s="1"/>
  <c r="AN162" i="5"/>
  <c r="AN155" i="5"/>
  <c r="AN147" i="5"/>
  <c r="AN139" i="5"/>
  <c r="AN131" i="5"/>
  <c r="AN123" i="5"/>
  <c r="AN115" i="5"/>
  <c r="AN107" i="5"/>
  <c r="AN100" i="5"/>
  <c r="AN91" i="5"/>
  <c r="AN82" i="5"/>
  <c r="AN75" i="5"/>
  <c r="AO75" i="5" s="1"/>
  <c r="AN67" i="5"/>
  <c r="AN59" i="5"/>
  <c r="AN51" i="5"/>
  <c r="AN17" i="5"/>
  <c r="AN18" i="5"/>
  <c r="AN23" i="5"/>
  <c r="AN39" i="5"/>
  <c r="AN163" i="5"/>
  <c r="AN154" i="5"/>
  <c r="AN145" i="5"/>
  <c r="AN138" i="5"/>
  <c r="AN129" i="5"/>
  <c r="AN122" i="5"/>
  <c r="AN114" i="5"/>
  <c r="AN106" i="5"/>
  <c r="AN98" i="5"/>
  <c r="AN90" i="5"/>
  <c r="AN83" i="5"/>
  <c r="AN74" i="5"/>
  <c r="AN66" i="5"/>
  <c r="AN58" i="5"/>
  <c r="AN50" i="5"/>
  <c r="AN28" i="5"/>
  <c r="AN20" i="5"/>
  <c r="AO20" i="5" s="1"/>
  <c r="AN41" i="5"/>
  <c r="AN27" i="5"/>
  <c r="AN161" i="5"/>
  <c r="AO153" i="5"/>
  <c r="AN153" i="5"/>
  <c r="AN146" i="5"/>
  <c r="AO146" i="5" s="1"/>
  <c r="AN137" i="5"/>
  <c r="AO137" i="5" s="1"/>
  <c r="AN130" i="5"/>
  <c r="AN121" i="5"/>
  <c r="AO121" i="5" s="1"/>
  <c r="AN113" i="5"/>
  <c r="AO113" i="5" s="1"/>
  <c r="AN104" i="5"/>
  <c r="AO104" i="5" s="1"/>
  <c r="AN96" i="5"/>
  <c r="AN88" i="5"/>
  <c r="AO88" i="5" s="1"/>
  <c r="AN81" i="5"/>
  <c r="AO81" i="5" s="1"/>
  <c r="AN73" i="5"/>
  <c r="AO73" i="5" s="1"/>
  <c r="AN65" i="5"/>
  <c r="AN57" i="5"/>
  <c r="AN49" i="5"/>
  <c r="AN34" i="5"/>
  <c r="AN22" i="5"/>
  <c r="AO22" i="5" s="1"/>
  <c r="AN35" i="5"/>
  <c r="AN32" i="5"/>
  <c r="Y24" i="4"/>
  <c r="U24" i="4"/>
  <c r="AA24" i="4"/>
  <c r="V24" i="4"/>
  <c r="AN160" i="5"/>
  <c r="AN152" i="5"/>
  <c r="AN144" i="5"/>
  <c r="AN136" i="5"/>
  <c r="AO136" i="5" s="1"/>
  <c r="AN128" i="5"/>
  <c r="AN120" i="5"/>
  <c r="AN111" i="5"/>
  <c r="AN105" i="5"/>
  <c r="AO105" i="5" s="1"/>
  <c r="AN97" i="5"/>
  <c r="AN89" i="5"/>
  <c r="AN80" i="5"/>
  <c r="AN71" i="5"/>
  <c r="AN64" i="5"/>
  <c r="AN55" i="5"/>
  <c r="AN48" i="5"/>
  <c r="AN30" i="5"/>
  <c r="AO30" i="5" s="1"/>
  <c r="AN40" i="5"/>
  <c r="AN38" i="5"/>
  <c r="AN21" i="5"/>
  <c r="Y17" i="4"/>
  <c r="U17" i="4"/>
  <c r="AA17" i="4"/>
  <c r="V17" i="4"/>
  <c r="K39" i="1"/>
  <c r="I39" i="1"/>
  <c r="N39" i="1"/>
  <c r="Y16" i="4"/>
  <c r="U16" i="4"/>
  <c r="AA16" i="4"/>
  <c r="V16" i="4"/>
  <c r="Y22" i="4"/>
  <c r="U22" i="4"/>
  <c r="AA22" i="4"/>
  <c r="V22" i="4"/>
  <c r="H39" i="1"/>
  <c r="U18" i="4"/>
  <c r="Y18" i="4"/>
  <c r="AA18" i="4"/>
  <c r="V18" i="4"/>
  <c r="AN159" i="5"/>
  <c r="AO159" i="5" s="1"/>
  <c r="AO151" i="5"/>
  <c r="AN151" i="5"/>
  <c r="AN142" i="5"/>
  <c r="AO142" i="5" s="1"/>
  <c r="AN135" i="5"/>
  <c r="AN127" i="5"/>
  <c r="AO127" i="5" s="1"/>
  <c r="AN118" i="5"/>
  <c r="AO118" i="5" s="1"/>
  <c r="AN112" i="5"/>
  <c r="AO112" i="5" s="1"/>
  <c r="AN103" i="5"/>
  <c r="AN95" i="5"/>
  <c r="AO95" i="5" s="1"/>
  <c r="AN87" i="5"/>
  <c r="AO87" i="5" s="1"/>
  <c r="AN79" i="5"/>
  <c r="AO79" i="5" s="1"/>
  <c r="AN72" i="5"/>
  <c r="AN63" i="5"/>
  <c r="AO63" i="5" s="1"/>
  <c r="AN56" i="5"/>
  <c r="AO56" i="5" s="1"/>
  <c r="AN46" i="5"/>
  <c r="AO46" i="5" s="1"/>
  <c r="AN36" i="5"/>
  <c r="AN42" i="5"/>
  <c r="AO42" i="5" s="1"/>
  <c r="V16" i="5"/>
  <c r="U9" i="5"/>
  <c r="AN158" i="5"/>
  <c r="AN150" i="5"/>
  <c r="AO150" i="5" s="1"/>
  <c r="AN143" i="5"/>
  <c r="AN134" i="5"/>
  <c r="AN126" i="5"/>
  <c r="AN119" i="5"/>
  <c r="AN110" i="5"/>
  <c r="AN102" i="5"/>
  <c r="AO102" i="5" s="1"/>
  <c r="AN93" i="5"/>
  <c r="AN86" i="5"/>
  <c r="AO86" i="5" s="1"/>
  <c r="AN77" i="5"/>
  <c r="AM69" i="5"/>
  <c r="V5" i="5"/>
  <c r="AN62" i="5"/>
  <c r="AN54" i="5"/>
  <c r="AN47" i="5"/>
  <c r="AN24" i="5"/>
  <c r="AO24" i="5" s="1"/>
  <c r="AN31" i="5"/>
  <c r="AN37" i="5"/>
  <c r="AO37" i="5" s="1"/>
  <c r="Y23" i="4"/>
  <c r="U23" i="4"/>
  <c r="AA23" i="4"/>
  <c r="V23" i="4"/>
  <c r="G40" i="1"/>
  <c r="F41" i="1"/>
  <c r="U20" i="4"/>
  <c r="Y20" i="4"/>
  <c r="AA20" i="4"/>
  <c r="V20" i="4"/>
  <c r="AN157" i="5"/>
  <c r="AN149" i="5"/>
  <c r="AO149" i="5" s="1"/>
  <c r="AN140" i="5"/>
  <c r="AO140" i="5" s="1"/>
  <c r="AN133" i="5"/>
  <c r="AO133" i="5" s="1"/>
  <c r="AN124" i="5"/>
  <c r="AN117" i="5"/>
  <c r="AO117" i="5" s="1"/>
  <c r="AN109" i="5"/>
  <c r="AO109" i="5" s="1"/>
  <c r="AN101" i="5"/>
  <c r="AO101" i="5" s="1"/>
  <c r="AN94" i="5"/>
  <c r="AN85" i="5"/>
  <c r="AO85" i="5" s="1"/>
  <c r="AN78" i="5"/>
  <c r="AO78" i="5" s="1"/>
  <c r="AN70" i="5"/>
  <c r="AO70" i="5" s="1"/>
  <c r="AN61" i="5"/>
  <c r="AN52" i="5"/>
  <c r="AO52" i="5" s="1"/>
  <c r="AN45" i="5"/>
  <c r="AO45" i="5" s="1"/>
  <c r="AN19" i="5"/>
  <c r="AO19" i="5" s="1"/>
  <c r="AN33" i="5"/>
  <c r="AO44" i="5"/>
  <c r="AN44" i="5"/>
  <c r="AG9" i="5"/>
  <c r="Y15" i="4"/>
  <c r="U15" i="4"/>
  <c r="AA15" i="4"/>
  <c r="V15" i="4"/>
  <c r="AO156" i="5"/>
  <c r="AN156" i="5"/>
  <c r="AN148" i="5"/>
  <c r="AO148" i="5" s="1"/>
  <c r="AN141" i="5"/>
  <c r="AO141" i="5" s="1"/>
  <c r="AN132" i="5"/>
  <c r="AN125" i="5"/>
  <c r="AO125" i="5" s="1"/>
  <c r="AN116" i="5"/>
  <c r="AO116" i="5" s="1"/>
  <c r="AO108" i="5"/>
  <c r="AN108" i="5"/>
  <c r="AN99" i="5"/>
  <c r="AN92" i="5"/>
  <c r="AO92" i="5" s="1"/>
  <c r="AN84" i="5"/>
  <c r="AO84" i="5" s="1"/>
  <c r="AN76" i="5"/>
  <c r="AO76" i="5" s="1"/>
  <c r="AN68" i="5"/>
  <c r="AN60" i="5"/>
  <c r="AO60" i="5" s="1"/>
  <c r="AN53" i="5"/>
  <c r="AO53" i="5" s="1"/>
  <c r="V8" i="5"/>
  <c r="AM26" i="5"/>
  <c r="AN25" i="5"/>
  <c r="AN43" i="5"/>
  <c r="AO43" i="5" s="1"/>
  <c r="AO29" i="5"/>
  <c r="AN29" i="5"/>
  <c r="N40" i="1" l="1"/>
  <c r="K40" i="1"/>
  <c r="I40" i="1"/>
  <c r="AP54" i="5"/>
  <c r="AP119" i="5"/>
  <c r="Z17" i="4"/>
  <c r="O20" i="1" s="1"/>
  <c r="M20" i="1"/>
  <c r="AP71" i="5"/>
  <c r="AP66" i="5"/>
  <c r="AP98" i="5"/>
  <c r="AP129" i="5"/>
  <c r="AP163" i="5"/>
  <c r="AP17" i="5"/>
  <c r="AP107" i="5"/>
  <c r="AP139" i="5"/>
  <c r="AP99" i="5"/>
  <c r="AP61" i="5"/>
  <c r="H40" i="1"/>
  <c r="AO54" i="5"/>
  <c r="AO119" i="5"/>
  <c r="AP72" i="5"/>
  <c r="AP135" i="5"/>
  <c r="AD22" i="4"/>
  <c r="AE22" i="4" s="1"/>
  <c r="L25" i="1"/>
  <c r="AD17" i="4"/>
  <c r="AE17" i="4" s="1"/>
  <c r="L20" i="1"/>
  <c r="AO71" i="5"/>
  <c r="AP65" i="5"/>
  <c r="AP96" i="5"/>
  <c r="AP130" i="5"/>
  <c r="AP161" i="5"/>
  <c r="AO66" i="5"/>
  <c r="AO98" i="5"/>
  <c r="AO129" i="5"/>
  <c r="AO163" i="5"/>
  <c r="AO17" i="5"/>
  <c r="AO107" i="5"/>
  <c r="AO139" i="5"/>
  <c r="AD15" i="4"/>
  <c r="AE15" i="4" s="1"/>
  <c r="L18" i="1"/>
  <c r="AP30" i="5"/>
  <c r="AP105" i="5"/>
  <c r="AP22" i="5"/>
  <c r="AP20" i="5"/>
  <c r="AP75" i="5"/>
  <c r="AP25" i="5"/>
  <c r="AP68" i="5"/>
  <c r="AP33" i="5"/>
  <c r="AP94" i="5"/>
  <c r="AP124" i="5"/>
  <c r="AP157" i="5"/>
  <c r="AP36" i="5"/>
  <c r="AP103" i="5"/>
  <c r="AP31" i="5"/>
  <c r="AP62" i="5"/>
  <c r="AP126" i="5"/>
  <c r="AP158" i="5"/>
  <c r="AO36" i="5"/>
  <c r="AO72" i="5"/>
  <c r="AO103" i="5"/>
  <c r="AO135" i="5"/>
  <c r="AP21" i="5"/>
  <c r="AP48" i="5"/>
  <c r="AP80" i="5"/>
  <c r="AP111" i="5"/>
  <c r="AP144" i="5"/>
  <c r="Z24" i="4"/>
  <c r="O27" i="1" s="1"/>
  <c r="M27" i="1"/>
  <c r="AP34" i="5"/>
  <c r="AO65" i="5"/>
  <c r="AO96" i="5"/>
  <c r="AO130" i="5"/>
  <c r="AO161" i="5"/>
  <c r="AP28" i="5"/>
  <c r="AP74" i="5"/>
  <c r="AP106" i="5"/>
  <c r="AP138" i="5"/>
  <c r="AP39" i="5"/>
  <c r="AP51" i="5"/>
  <c r="AP82" i="5"/>
  <c r="AP115" i="5"/>
  <c r="AP147" i="5"/>
  <c r="AL164" i="5"/>
  <c r="AK8" i="5"/>
  <c r="AK7" i="5"/>
  <c r="AP37" i="5"/>
  <c r="AP86" i="5"/>
  <c r="AP150" i="5"/>
  <c r="Z22" i="4"/>
  <c r="O25" i="1" s="1"/>
  <c r="M25" i="1"/>
  <c r="AP136" i="5"/>
  <c r="AP132" i="5"/>
  <c r="AO25" i="5"/>
  <c r="AO68" i="5"/>
  <c r="AO99" i="5"/>
  <c r="AO132" i="5"/>
  <c r="AO33" i="5"/>
  <c r="AO61" i="5"/>
  <c r="AO94" i="5"/>
  <c r="AO124" i="5"/>
  <c r="AO157" i="5"/>
  <c r="AP93" i="5"/>
  <c r="AM8" i="5"/>
  <c r="AN26" i="5"/>
  <c r="AO26" i="5" s="1"/>
  <c r="AP76" i="5"/>
  <c r="AP108" i="5"/>
  <c r="AP141" i="5"/>
  <c r="Z15" i="4"/>
  <c r="O18" i="1" s="1"/>
  <c r="M18" i="1"/>
  <c r="AP19" i="5"/>
  <c r="AP70" i="5"/>
  <c r="AP101" i="5"/>
  <c r="AP133" i="5"/>
  <c r="AO31" i="5"/>
  <c r="AO62" i="5"/>
  <c r="AO93" i="5"/>
  <c r="AO126" i="5"/>
  <c r="AO158" i="5"/>
  <c r="AP46" i="5"/>
  <c r="AP79" i="5"/>
  <c r="AP112" i="5"/>
  <c r="AP142" i="5"/>
  <c r="AD18" i="4"/>
  <c r="AE18" i="4" s="1"/>
  <c r="L21" i="1"/>
  <c r="AO21" i="5"/>
  <c r="AO48" i="5"/>
  <c r="AO80" i="5"/>
  <c r="AO111" i="5"/>
  <c r="AO144" i="5"/>
  <c r="AD24" i="4"/>
  <c r="AE24" i="4" s="1"/>
  <c r="L27" i="1"/>
  <c r="AO34" i="5"/>
  <c r="AP73" i="5"/>
  <c r="AP104" i="5"/>
  <c r="AP137" i="5"/>
  <c r="AO28" i="5"/>
  <c r="AO74" i="5"/>
  <c r="AO106" i="5"/>
  <c r="AO138" i="5"/>
  <c r="AO39" i="5"/>
  <c r="AO51" i="5"/>
  <c r="AO82" i="5"/>
  <c r="AO115" i="5"/>
  <c r="AO147" i="5"/>
  <c r="V6" i="4"/>
  <c r="V7" i="4" s="1"/>
  <c r="V8" i="4" s="1"/>
  <c r="AP38" i="5"/>
  <c r="AP55" i="5"/>
  <c r="AP89" i="5"/>
  <c r="AP120" i="5"/>
  <c r="AP152" i="5"/>
  <c r="AP32" i="5"/>
  <c r="AP49" i="5"/>
  <c r="AP27" i="5"/>
  <c r="AP50" i="5"/>
  <c r="AP83" i="5"/>
  <c r="AP114" i="5"/>
  <c r="AP145" i="5"/>
  <c r="AP23" i="5"/>
  <c r="AP59" i="5"/>
  <c r="AP91" i="5"/>
  <c r="AP123" i="5"/>
  <c r="AP155" i="5"/>
  <c r="L17" i="3"/>
  <c r="T7" i="4"/>
  <c r="T8" i="4" s="1"/>
  <c r="AP134" i="5"/>
  <c r="Z18" i="4"/>
  <c r="O21" i="1" s="1"/>
  <c r="M21" i="1"/>
  <c r="Z16" i="4"/>
  <c r="O19" i="1" s="1"/>
  <c r="M19" i="1"/>
  <c r="AP29" i="5"/>
  <c r="AP53" i="5"/>
  <c r="AP84" i="5"/>
  <c r="AP116" i="5"/>
  <c r="AP148" i="5"/>
  <c r="AP45" i="5"/>
  <c r="AP78" i="5"/>
  <c r="AP109" i="5"/>
  <c r="AP140" i="5"/>
  <c r="AD20" i="4"/>
  <c r="AE20" i="4" s="1"/>
  <c r="L23" i="1"/>
  <c r="Z23" i="4"/>
  <c r="O26" i="1" s="1"/>
  <c r="M26" i="1"/>
  <c r="AN69" i="5"/>
  <c r="AO69" i="5" s="1"/>
  <c r="AM5" i="5"/>
  <c r="AO134" i="5"/>
  <c r="AP56" i="5"/>
  <c r="AP87" i="5"/>
  <c r="AP118" i="5"/>
  <c r="AP151" i="5"/>
  <c r="AD16" i="4"/>
  <c r="AE16" i="4" s="1"/>
  <c r="L19" i="1"/>
  <c r="AO38" i="5"/>
  <c r="AO55" i="5"/>
  <c r="AO89" i="5"/>
  <c r="AO120" i="5"/>
  <c r="AO152" i="5"/>
  <c r="AO32" i="5"/>
  <c r="AO49" i="5"/>
  <c r="AP81" i="5"/>
  <c r="AP113" i="5"/>
  <c r="AP146" i="5"/>
  <c r="AO27" i="5"/>
  <c r="AO50" i="5"/>
  <c r="AO83" i="5"/>
  <c r="AO114" i="5"/>
  <c r="AO145" i="5"/>
  <c r="AO23" i="5"/>
  <c r="AO59" i="5"/>
  <c r="AO91" i="5"/>
  <c r="AO123" i="5"/>
  <c r="AO155" i="5"/>
  <c r="AA6" i="4"/>
  <c r="AA7" i="4" s="1"/>
  <c r="AP40" i="5"/>
  <c r="AP64" i="5"/>
  <c r="AP97" i="5"/>
  <c r="AP128" i="5"/>
  <c r="AP160" i="5"/>
  <c r="AP35" i="5"/>
  <c r="AP57" i="5"/>
  <c r="AP41" i="5"/>
  <c r="AP58" i="5"/>
  <c r="AP90" i="5"/>
  <c r="AP122" i="5"/>
  <c r="AP154" i="5"/>
  <c r="AP18" i="5"/>
  <c r="AP67" i="5"/>
  <c r="AP100" i="5"/>
  <c r="AP131" i="5"/>
  <c r="AP162" i="5"/>
  <c r="Z14" i="4"/>
  <c r="U6" i="4"/>
  <c r="M17" i="1"/>
  <c r="AP24" i="5"/>
  <c r="AP102" i="5"/>
  <c r="Z20" i="4"/>
  <c r="O23" i="1" s="1"/>
  <c r="M23" i="1"/>
  <c r="AD23" i="4"/>
  <c r="AE23" i="4" s="1"/>
  <c r="L26" i="1"/>
  <c r="AP47" i="5"/>
  <c r="AP77" i="5"/>
  <c r="AP110" i="5"/>
  <c r="AP143" i="5"/>
  <c r="V7" i="5"/>
  <c r="V9" i="5" s="1"/>
  <c r="V10" i="5" s="1"/>
  <c r="AM16" i="5"/>
  <c r="AP43" i="5"/>
  <c r="AP60" i="5"/>
  <c r="AP92" i="5"/>
  <c r="AP125" i="5"/>
  <c r="AP156" i="5"/>
  <c r="AP44" i="5"/>
  <c r="AP52" i="5"/>
  <c r="AP85" i="5"/>
  <c r="AP117" i="5"/>
  <c r="AP149" i="5"/>
  <c r="F42" i="1"/>
  <c r="G41" i="1"/>
  <c r="H41" i="1" s="1"/>
  <c r="AO47" i="5"/>
  <c r="AO77" i="5"/>
  <c r="AO110" i="5"/>
  <c r="AO143" i="5"/>
  <c r="AP42" i="5"/>
  <c r="AP63" i="5"/>
  <c r="AP95" i="5"/>
  <c r="AP127" i="5"/>
  <c r="AP159" i="5"/>
  <c r="AO40" i="5"/>
  <c r="AO64" i="5"/>
  <c r="AO97" i="5"/>
  <c r="AO128" i="5"/>
  <c r="AO160" i="5"/>
  <c r="AO35" i="5"/>
  <c r="AO57" i="5"/>
  <c r="AP88" i="5"/>
  <c r="AP121" i="5"/>
  <c r="AP153" i="5"/>
  <c r="AO41" i="5"/>
  <c r="AO58" i="5"/>
  <c r="AO90" i="5"/>
  <c r="AO122" i="5"/>
  <c r="AO154" i="5"/>
  <c r="AO18" i="5"/>
  <c r="AO67" i="5"/>
  <c r="AO100" i="5"/>
  <c r="AO131" i="5"/>
  <c r="AO162" i="5"/>
  <c r="AD14" i="4"/>
  <c r="AE14" i="4" s="1"/>
  <c r="Y6" i="4"/>
  <c r="Y7" i="4" s="1"/>
  <c r="Y8" i="4" s="1"/>
  <c r="L17" i="1"/>
  <c r="AK9" i="5" l="1"/>
  <c r="AO8" i="5"/>
  <c r="D40" i="2"/>
  <c r="K41" i="1"/>
  <c r="I41" i="1"/>
  <c r="N41" i="1"/>
  <c r="AN16" i="5"/>
  <c r="AO16" i="5" s="1"/>
  <c r="AM164" i="5"/>
  <c r="AM7" i="5" s="1"/>
  <c r="AM9" i="5" s="1"/>
  <c r="AL7" i="5"/>
  <c r="AL9" i="5" s="1"/>
  <c r="AA8" i="4"/>
  <c r="M9" i="1"/>
  <c r="G42" i="1"/>
  <c r="H42" i="1" s="1"/>
  <c r="F43" i="1"/>
  <c r="N17" i="3"/>
  <c r="U7" i="4"/>
  <c r="U8" i="4" s="1"/>
  <c r="AP69" i="5"/>
  <c r="AN5" i="5"/>
  <c r="M17" i="3"/>
  <c r="M18" i="3" s="1"/>
  <c r="M34" i="3"/>
  <c r="L18" i="3"/>
  <c r="Z6" i="4"/>
  <c r="Z7" i="4" s="1"/>
  <c r="Z8" i="4" s="1"/>
  <c r="G40" i="2"/>
  <c r="O17" i="1"/>
  <c r="O9" i="1" s="1"/>
  <c r="AO5" i="5"/>
  <c r="L9" i="1"/>
  <c r="AN8" i="5"/>
  <c r="AP26" i="5"/>
  <c r="AP5" i="5" l="1"/>
  <c r="N18" i="3"/>
  <c r="O16" i="3"/>
  <c r="G44" i="2"/>
  <c r="G42" i="2"/>
  <c r="D42" i="2"/>
  <c r="D44" i="2"/>
  <c r="AP8" i="5"/>
  <c r="F44" i="1"/>
  <c r="G43" i="1"/>
  <c r="N42" i="1"/>
  <c r="K42" i="1"/>
  <c r="I42" i="1"/>
  <c r="AP16" i="5"/>
  <c r="AN164" i="5"/>
  <c r="AN7" i="5" s="1"/>
  <c r="AN9" i="5" s="1"/>
  <c r="AO164" i="5" l="1"/>
  <c r="AO7" i="5" s="1"/>
  <c r="AO9" i="5" s="1"/>
  <c r="G44" i="1"/>
  <c r="H44" i="1" s="1"/>
  <c r="F45" i="1"/>
  <c r="O17" i="3"/>
  <c r="AP164" i="5"/>
  <c r="K43" i="1"/>
  <c r="I43" i="1"/>
  <c r="N43" i="1"/>
  <c r="AP7" i="5"/>
  <c r="AP9" i="5" s="1"/>
  <c r="H43" i="1"/>
  <c r="AQ157" i="5" l="1"/>
  <c r="AR157" i="5" s="1"/>
  <c r="AQ125" i="5"/>
  <c r="AR125" i="5" s="1"/>
  <c r="AQ49" i="5"/>
  <c r="AR49" i="5" s="1"/>
  <c r="AQ80" i="5"/>
  <c r="AR80" i="5" s="1"/>
  <c r="AQ43" i="5"/>
  <c r="AR43" i="5" s="1"/>
  <c r="AQ57" i="5"/>
  <c r="AR57" i="5" s="1"/>
  <c r="AQ150" i="5"/>
  <c r="AR150" i="5" s="1"/>
  <c r="AQ83" i="5"/>
  <c r="AR83" i="5" s="1"/>
  <c r="AQ48" i="5"/>
  <c r="AR48" i="5" s="1"/>
  <c r="AQ139" i="5"/>
  <c r="AR139" i="5" s="1"/>
  <c r="AQ146" i="5"/>
  <c r="AR146" i="5" s="1"/>
  <c r="AQ67" i="5"/>
  <c r="AR67" i="5" s="1"/>
  <c r="AQ109" i="5"/>
  <c r="AR109" i="5" s="1"/>
  <c r="AQ86" i="5"/>
  <c r="AR86" i="5" s="1"/>
  <c r="AQ149" i="5"/>
  <c r="AR149" i="5" s="1"/>
  <c r="AQ115" i="5"/>
  <c r="AR115" i="5" s="1"/>
  <c r="AQ71" i="5"/>
  <c r="AR71" i="5" s="1"/>
  <c r="AQ153" i="5"/>
  <c r="AR153" i="5" s="1"/>
  <c r="AQ84" i="5"/>
  <c r="AR84" i="5" s="1"/>
  <c r="AQ33" i="5"/>
  <c r="AR33" i="5" s="1"/>
  <c r="AQ68" i="5"/>
  <c r="AR68" i="5" s="1"/>
  <c r="AQ89" i="5"/>
  <c r="AR89" i="5" s="1"/>
  <c r="AQ31" i="5"/>
  <c r="AR31" i="5" s="1"/>
  <c r="AQ102" i="5"/>
  <c r="AR102" i="5" s="1"/>
  <c r="AQ97" i="5"/>
  <c r="AR97" i="5" s="1"/>
  <c r="AQ32" i="5"/>
  <c r="AR32" i="5" s="1"/>
  <c r="AQ158" i="5"/>
  <c r="AR158" i="5" s="1"/>
  <c r="AQ121" i="5"/>
  <c r="AR121" i="5" s="1"/>
  <c r="AQ90" i="5"/>
  <c r="AR90" i="5" s="1"/>
  <c r="AQ116" i="5"/>
  <c r="AR116" i="5" s="1"/>
  <c r="AQ103" i="5"/>
  <c r="AR103" i="5" s="1"/>
  <c r="AQ44" i="5"/>
  <c r="AR44" i="5" s="1"/>
  <c r="AQ155" i="5"/>
  <c r="AR155" i="5" s="1"/>
  <c r="AQ138" i="5"/>
  <c r="AR138" i="5" s="1"/>
  <c r="AQ123" i="5"/>
  <c r="AR123" i="5" s="1"/>
  <c r="AQ162" i="5"/>
  <c r="AR162" i="5" s="1"/>
  <c r="AQ133" i="5"/>
  <c r="AR133" i="5" s="1"/>
  <c r="AQ20" i="5"/>
  <c r="AR20" i="5" s="1"/>
  <c r="AQ77" i="5"/>
  <c r="AR77" i="5" s="1"/>
  <c r="AQ22" i="5"/>
  <c r="AR22" i="5" s="1"/>
  <c r="AQ137" i="5"/>
  <c r="AR137" i="5" s="1"/>
  <c r="AQ130" i="5"/>
  <c r="AR130" i="5" s="1"/>
  <c r="AQ81" i="5"/>
  <c r="AR81" i="5" s="1"/>
  <c r="AQ151" i="5"/>
  <c r="AR151" i="5" s="1"/>
  <c r="AQ45" i="5"/>
  <c r="AR45" i="5" s="1"/>
  <c r="AQ55" i="5"/>
  <c r="AR55" i="5" s="1"/>
  <c r="AQ96" i="5"/>
  <c r="AR96" i="5" s="1"/>
  <c r="AQ154" i="5"/>
  <c r="AR154" i="5" s="1"/>
  <c r="AQ35" i="5"/>
  <c r="AR35" i="5" s="1"/>
  <c r="AQ94" i="5"/>
  <c r="AR94" i="5" s="1"/>
  <c r="AQ60" i="5"/>
  <c r="AR60" i="5" s="1"/>
  <c r="AQ23" i="5"/>
  <c r="AR23" i="5" s="1"/>
  <c r="AQ144" i="5"/>
  <c r="AR144" i="5" s="1"/>
  <c r="AQ120" i="5"/>
  <c r="AR120" i="5" s="1"/>
  <c r="AQ18" i="5"/>
  <c r="AR18" i="5" s="1"/>
  <c r="AQ72" i="5"/>
  <c r="AR72" i="5" s="1"/>
  <c r="AQ111" i="5"/>
  <c r="AR111" i="5" s="1"/>
  <c r="AQ145" i="5"/>
  <c r="AR145" i="5" s="1"/>
  <c r="AQ142" i="5"/>
  <c r="AR142" i="5" s="1"/>
  <c r="AQ107" i="5"/>
  <c r="AR107" i="5" s="1"/>
  <c r="AQ27" i="5"/>
  <c r="AR27" i="5" s="1"/>
  <c r="AQ140" i="5"/>
  <c r="AR140" i="5" s="1"/>
  <c r="AQ124" i="5"/>
  <c r="AR124" i="5" s="1"/>
  <c r="AQ134" i="5"/>
  <c r="AR134" i="5" s="1"/>
  <c r="AQ104" i="5"/>
  <c r="AR104" i="5" s="1"/>
  <c r="AQ61" i="5"/>
  <c r="AR61" i="5" s="1"/>
  <c r="AQ128" i="5"/>
  <c r="AR128" i="5" s="1"/>
  <c r="AQ64" i="5"/>
  <c r="AR64" i="5" s="1"/>
  <c r="AQ75" i="5"/>
  <c r="AR75" i="5" s="1"/>
  <c r="AQ110" i="5"/>
  <c r="AR110" i="5" s="1"/>
  <c r="AQ50" i="5"/>
  <c r="AR50" i="5" s="1"/>
  <c r="AQ21" i="5"/>
  <c r="AR21" i="5" s="1"/>
  <c r="AQ46" i="5"/>
  <c r="AR46" i="5" s="1"/>
  <c r="AQ58" i="5"/>
  <c r="AR58" i="5" s="1"/>
  <c r="AQ78" i="5"/>
  <c r="AR78" i="5" s="1"/>
  <c r="AQ41" i="5"/>
  <c r="AR41" i="5" s="1"/>
  <c r="AQ82" i="5"/>
  <c r="AR82" i="5" s="1"/>
  <c r="AQ47" i="5"/>
  <c r="AR47" i="5" s="1"/>
  <c r="AQ93" i="5"/>
  <c r="AR93" i="5" s="1"/>
  <c r="AQ98" i="5"/>
  <c r="AR98" i="5" s="1"/>
  <c r="AQ53" i="5"/>
  <c r="AR53" i="5" s="1"/>
  <c r="AQ148" i="5"/>
  <c r="AR148" i="5" s="1"/>
  <c r="AQ25" i="5"/>
  <c r="AR25" i="5" s="1"/>
  <c r="AQ159" i="5"/>
  <c r="AR159" i="5" s="1"/>
  <c r="AQ112" i="5"/>
  <c r="AR112" i="5" s="1"/>
  <c r="AQ17" i="5"/>
  <c r="AR17" i="5" s="1"/>
  <c r="AQ52" i="5"/>
  <c r="AR52" i="5" s="1"/>
  <c r="AQ118" i="5"/>
  <c r="AR118" i="5" s="1"/>
  <c r="AQ30" i="5"/>
  <c r="AR30" i="5" s="1"/>
  <c r="AQ152" i="5"/>
  <c r="AR152" i="5" s="1"/>
  <c r="AQ126" i="5"/>
  <c r="AR126" i="5" s="1"/>
  <c r="AQ62" i="5"/>
  <c r="AR62" i="5" s="1"/>
  <c r="AQ160" i="5"/>
  <c r="AR160" i="5" s="1"/>
  <c r="AQ132" i="5"/>
  <c r="AR132" i="5" s="1"/>
  <c r="AQ127" i="5"/>
  <c r="AR127" i="5" s="1"/>
  <c r="AQ113" i="5"/>
  <c r="AR113" i="5" s="1"/>
  <c r="AQ79" i="5"/>
  <c r="AR79" i="5" s="1"/>
  <c r="AQ163" i="5"/>
  <c r="AR163" i="5" s="1"/>
  <c r="AQ56" i="5"/>
  <c r="AR56" i="5" s="1"/>
  <c r="AQ36" i="5"/>
  <c r="AR36" i="5" s="1"/>
  <c r="AQ101" i="5"/>
  <c r="AR101" i="5" s="1"/>
  <c r="AQ24" i="5"/>
  <c r="AR24" i="5" s="1"/>
  <c r="AQ51" i="5"/>
  <c r="AR51" i="5" s="1"/>
  <c r="AQ119" i="5"/>
  <c r="AR119" i="5" s="1"/>
  <c r="AQ88" i="5"/>
  <c r="AR88" i="5" s="1"/>
  <c r="AQ29" i="5"/>
  <c r="AR29" i="5" s="1"/>
  <c r="AQ105" i="5"/>
  <c r="AR105" i="5" s="1"/>
  <c r="AQ42" i="5"/>
  <c r="AR42" i="5" s="1"/>
  <c r="AQ147" i="5"/>
  <c r="AR147" i="5" s="1"/>
  <c r="AQ66" i="5"/>
  <c r="AR66" i="5" s="1"/>
  <c r="AQ92" i="5"/>
  <c r="AR92" i="5" s="1"/>
  <c r="AQ19" i="5"/>
  <c r="AR19" i="5" s="1"/>
  <c r="AQ135" i="5"/>
  <c r="AR135" i="5" s="1"/>
  <c r="AQ38" i="5"/>
  <c r="AR38" i="5" s="1"/>
  <c r="AQ65" i="5"/>
  <c r="AR65" i="5" s="1"/>
  <c r="AQ40" i="5"/>
  <c r="AR40" i="5" s="1"/>
  <c r="AQ136" i="5"/>
  <c r="AR136" i="5" s="1"/>
  <c r="AQ73" i="5"/>
  <c r="AR73" i="5" s="1"/>
  <c r="AQ87" i="5"/>
  <c r="AR87" i="5" s="1"/>
  <c r="AQ85" i="5"/>
  <c r="AR85" i="5" s="1"/>
  <c r="AQ114" i="5"/>
  <c r="AR114" i="5" s="1"/>
  <c r="AQ34" i="5"/>
  <c r="AR34" i="5" s="1"/>
  <c r="AQ117" i="5"/>
  <c r="AR117" i="5" s="1"/>
  <c r="AQ122" i="5"/>
  <c r="AR122" i="5" s="1"/>
  <c r="AQ108" i="5"/>
  <c r="AR108" i="5" s="1"/>
  <c r="AQ161" i="5"/>
  <c r="AR161" i="5" s="1"/>
  <c r="AQ59" i="5"/>
  <c r="AR59" i="5" s="1"/>
  <c r="AQ28" i="5"/>
  <c r="AR28" i="5" s="1"/>
  <c r="AQ156" i="5"/>
  <c r="AR156" i="5" s="1"/>
  <c r="AQ141" i="5"/>
  <c r="AR141" i="5" s="1"/>
  <c r="AQ63" i="5"/>
  <c r="AR63" i="5" s="1"/>
  <c r="AQ91" i="5"/>
  <c r="AR91" i="5" s="1"/>
  <c r="AQ74" i="5"/>
  <c r="AR74" i="5" s="1"/>
  <c r="AQ95" i="5"/>
  <c r="AR95" i="5" s="1"/>
  <c r="AQ100" i="5"/>
  <c r="AR100" i="5" s="1"/>
  <c r="AQ70" i="5"/>
  <c r="AR70" i="5" s="1"/>
  <c r="AQ106" i="5"/>
  <c r="AR106" i="5" s="1"/>
  <c r="AQ39" i="5"/>
  <c r="AR39" i="5" s="1"/>
  <c r="AQ54" i="5"/>
  <c r="AR54" i="5" s="1"/>
  <c r="AQ143" i="5"/>
  <c r="AR143" i="5" s="1"/>
  <c r="AQ76" i="5"/>
  <c r="AR76" i="5" s="1"/>
  <c r="AQ129" i="5"/>
  <c r="AR129" i="5" s="1"/>
  <c r="AQ99" i="5"/>
  <c r="AR99" i="5" s="1"/>
  <c r="AQ131" i="5"/>
  <c r="AR131" i="5" s="1"/>
  <c r="AQ37" i="5"/>
  <c r="AR37" i="5" s="1"/>
  <c r="AQ69" i="5"/>
  <c r="AQ26" i="5"/>
  <c r="AQ16" i="5"/>
  <c r="AQ164" i="5"/>
  <c r="AR164" i="5" s="1"/>
  <c r="F46" i="1"/>
  <c r="G45" i="1"/>
  <c r="H45" i="1" s="1"/>
  <c r="N44" i="1"/>
  <c r="K44" i="1"/>
  <c r="I44" i="1"/>
  <c r="AS115" i="5" l="1"/>
  <c r="AS99" i="5"/>
  <c r="AS100" i="5"/>
  <c r="AS51" i="5"/>
  <c r="AS96" i="5"/>
  <c r="G46" i="1"/>
  <c r="H46" i="1" s="1"/>
  <c r="F47" i="1"/>
  <c r="AS73" i="5"/>
  <c r="AS132" i="5"/>
  <c r="AS110" i="5"/>
  <c r="AS89" i="5"/>
  <c r="AS85" i="5"/>
  <c r="AS83" i="5"/>
  <c r="AS74" i="5"/>
  <c r="AS108" i="5"/>
  <c r="AS101" i="5"/>
  <c r="AS112" i="5"/>
  <c r="AS75" i="5"/>
  <c r="AQ7" i="5"/>
  <c r="AR16" i="5"/>
  <c r="AS36" i="5"/>
  <c r="AS62" i="5"/>
  <c r="AS64" i="5"/>
  <c r="AS80" i="5"/>
  <c r="AS113" i="5"/>
  <c r="AQ8" i="5"/>
  <c r="AR26" i="5"/>
  <c r="AS54" i="5"/>
  <c r="AS65" i="5"/>
  <c r="AS14" i="5"/>
  <c r="AS78" i="5"/>
  <c r="AS81" i="5"/>
  <c r="AS158" i="5"/>
  <c r="AS84" i="5"/>
  <c r="AS118" i="5"/>
  <c r="AQ5" i="5"/>
  <c r="AR69" i="5"/>
  <c r="AS61" i="5"/>
  <c r="AS98" i="5"/>
  <c r="AS72" i="5"/>
  <c r="K45" i="1"/>
  <c r="I45" i="1"/>
  <c r="N45" i="1"/>
  <c r="AS114" i="5"/>
  <c r="AS88" i="5"/>
  <c r="AS79" i="5"/>
  <c r="AS104" i="5"/>
  <c r="AS35" i="5"/>
  <c r="AS69" i="5" l="1"/>
  <c r="AR5" i="5"/>
  <c r="AQ9" i="5"/>
  <c r="F48" i="1"/>
  <c r="G47" i="1"/>
  <c r="AR7" i="5"/>
  <c r="N46" i="1"/>
  <c r="K46" i="1"/>
  <c r="I46" i="1"/>
  <c r="AS26" i="5"/>
  <c r="AR8" i="5"/>
  <c r="AT3" i="5" l="1"/>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5" i="5"/>
  <c r="AT116" i="5"/>
  <c r="AT117" i="5"/>
  <c r="AT118" i="5"/>
  <c r="AT119" i="5"/>
  <c r="AT120" i="5"/>
  <c r="AT121" i="5"/>
  <c r="AT122" i="5"/>
  <c r="AT123" i="5"/>
  <c r="AT124" i="5"/>
  <c r="AT125" i="5"/>
  <c r="AT126" i="5"/>
  <c r="AT127" i="5"/>
  <c r="AT128" i="5"/>
  <c r="AT129" i="5"/>
  <c r="AT130" i="5"/>
  <c r="AT13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S8" i="5"/>
  <c r="G29" i="3" s="1"/>
  <c r="AS5" i="5"/>
  <c r="K47" i="1"/>
  <c r="I47" i="1"/>
  <c r="N47" i="1"/>
  <c r="H47" i="1"/>
  <c r="G48" i="1"/>
  <c r="H48" i="1" s="1"/>
  <c r="F49" i="1"/>
  <c r="AS3" i="5"/>
  <c r="AR9" i="5"/>
  <c r="AU156" i="5" l="1"/>
  <c r="AU148" i="5"/>
  <c r="AU132" i="5"/>
  <c r="AU124" i="5"/>
  <c r="AU116" i="5"/>
  <c r="AU108" i="5"/>
  <c r="AU100" i="5"/>
  <c r="AU92" i="5"/>
  <c r="AU84" i="5"/>
  <c r="AU76" i="5"/>
  <c r="AU68" i="5"/>
  <c r="AU60" i="5"/>
  <c r="AU52" i="5"/>
  <c r="AU44" i="5"/>
  <c r="AU36" i="5"/>
  <c r="AU28" i="5"/>
  <c r="AU20" i="5"/>
  <c r="AU163" i="5"/>
  <c r="AU155" i="5"/>
  <c r="AU147" i="5"/>
  <c r="AU139" i="5"/>
  <c r="AU131" i="5"/>
  <c r="AU123" i="5"/>
  <c r="AU115" i="5"/>
  <c r="AU107" i="5"/>
  <c r="AU99" i="5"/>
  <c r="AU91" i="5"/>
  <c r="AU83" i="5"/>
  <c r="AU75" i="5"/>
  <c r="AU67" i="5"/>
  <c r="AU59" i="5"/>
  <c r="AU51" i="5"/>
  <c r="AU43" i="5"/>
  <c r="AU35" i="5"/>
  <c r="AU27" i="5"/>
  <c r="AU19" i="5"/>
  <c r="AU162" i="5"/>
  <c r="AU154" i="5"/>
  <c r="AU146" i="5"/>
  <c r="AU138" i="5"/>
  <c r="AU130" i="5"/>
  <c r="AU122" i="5"/>
  <c r="AU114" i="5"/>
  <c r="AU106" i="5"/>
  <c r="AU98" i="5"/>
  <c r="AU90" i="5"/>
  <c r="AU82" i="5"/>
  <c r="AU74" i="5"/>
  <c r="AU66" i="5"/>
  <c r="AU58" i="5"/>
  <c r="AU50" i="5"/>
  <c r="AU42" i="5"/>
  <c r="AU34" i="5"/>
  <c r="AT8" i="5"/>
  <c r="AU18" i="5"/>
  <c r="AU161" i="5"/>
  <c r="AU153" i="5"/>
  <c r="AU145" i="5"/>
  <c r="AU137" i="5"/>
  <c r="AU129" i="5"/>
  <c r="AU121" i="5"/>
  <c r="AU113" i="5"/>
  <c r="AU105" i="5"/>
  <c r="AU97" i="5"/>
  <c r="AU89" i="5"/>
  <c r="AU81" i="5"/>
  <c r="AU73" i="5"/>
  <c r="AU65" i="5"/>
  <c r="AU57" i="5"/>
  <c r="AU49" i="5"/>
  <c r="AU41" i="5"/>
  <c r="AU33" i="5"/>
  <c r="AU25" i="5"/>
  <c r="AU17" i="5"/>
  <c r="G28" i="3"/>
  <c r="AS9" i="5"/>
  <c r="AU160" i="5"/>
  <c r="AU152" i="5"/>
  <c r="AU144" i="5"/>
  <c r="AU136" i="5"/>
  <c r="AU128" i="5"/>
  <c r="AU120" i="5"/>
  <c r="AU112" i="5"/>
  <c r="AU104" i="5"/>
  <c r="AU96" i="5"/>
  <c r="AU88" i="5"/>
  <c r="AU80" i="5"/>
  <c r="AU72" i="5"/>
  <c r="AU64" i="5"/>
  <c r="AU56" i="5"/>
  <c r="AU48" i="5"/>
  <c r="AU40" i="5"/>
  <c r="AU32" i="5"/>
  <c r="AU24" i="5"/>
  <c r="AT7" i="5"/>
  <c r="AU16" i="5"/>
  <c r="AU159" i="5"/>
  <c r="AU151" i="5"/>
  <c r="AU143" i="5"/>
  <c r="AU135" i="5"/>
  <c r="AU127" i="5"/>
  <c r="AU119" i="5"/>
  <c r="AU111" i="5"/>
  <c r="AU103" i="5"/>
  <c r="AU95" i="5"/>
  <c r="AU87" i="5"/>
  <c r="AU79" i="5"/>
  <c r="AU71" i="5"/>
  <c r="AU63" i="5"/>
  <c r="AU55" i="5"/>
  <c r="AU47" i="5"/>
  <c r="AU39" i="5"/>
  <c r="AU31" i="5"/>
  <c r="AU23" i="5"/>
  <c r="AU164" i="5"/>
  <c r="AU140" i="5"/>
  <c r="F50" i="1"/>
  <c r="G49" i="1"/>
  <c r="H49" i="1" s="1"/>
  <c r="AU158" i="5"/>
  <c r="AU150" i="5"/>
  <c r="AU142" i="5"/>
  <c r="AU134" i="5"/>
  <c r="AU126" i="5"/>
  <c r="AU118" i="5"/>
  <c r="AU110" i="5"/>
  <c r="AU102" i="5"/>
  <c r="AU94" i="5"/>
  <c r="AU86" i="5"/>
  <c r="AU78" i="5"/>
  <c r="AU70" i="5"/>
  <c r="AU62" i="5"/>
  <c r="AU54" i="5"/>
  <c r="AU46" i="5"/>
  <c r="AU38" i="5"/>
  <c r="AU30" i="5"/>
  <c r="AU22" i="5"/>
  <c r="AU26" i="5"/>
  <c r="N48" i="1"/>
  <c r="K48" i="1"/>
  <c r="I48" i="1"/>
  <c r="AU157" i="5"/>
  <c r="AU149" i="5"/>
  <c r="AU141" i="5"/>
  <c r="AU133" i="5"/>
  <c r="AU125" i="5"/>
  <c r="AU117" i="5"/>
  <c r="AU109" i="5"/>
  <c r="AU101" i="5"/>
  <c r="AU93" i="5"/>
  <c r="AU85" i="5"/>
  <c r="AU77" i="5"/>
  <c r="AT5" i="5"/>
  <c r="AU61" i="5"/>
  <c r="AU53" i="5"/>
  <c r="AU45" i="5"/>
  <c r="AU37" i="5"/>
  <c r="AU29" i="5"/>
  <c r="AU21" i="5"/>
  <c r="AU69" i="5"/>
  <c r="AV32" i="5" l="1"/>
  <c r="AV128" i="5"/>
  <c r="AV160" i="5"/>
  <c r="AW160" i="5" s="1"/>
  <c r="AV33" i="5"/>
  <c r="AW33" i="5" s="1"/>
  <c r="AV97" i="5"/>
  <c r="AW97" i="5" s="1"/>
  <c r="AV129" i="5"/>
  <c r="AV161" i="5"/>
  <c r="AW161" i="5" s="1"/>
  <c r="AV74" i="5"/>
  <c r="AW74" i="5" s="1"/>
  <c r="BA74" i="5" s="1"/>
  <c r="AV51" i="5"/>
  <c r="AW51" i="5" s="1"/>
  <c r="BA51" i="5" s="1"/>
  <c r="AV83" i="5"/>
  <c r="AV115" i="5"/>
  <c r="AW115" i="5" s="1"/>
  <c r="BA115" i="5" s="1"/>
  <c r="AV93" i="5"/>
  <c r="AW93" i="5" s="1"/>
  <c r="AV125" i="5"/>
  <c r="AV157" i="5"/>
  <c r="AW157" i="5" s="1"/>
  <c r="AV29" i="5"/>
  <c r="AW29" i="5" s="1"/>
  <c r="AV46" i="5"/>
  <c r="AW46" i="5" s="1"/>
  <c r="AV110" i="5"/>
  <c r="AV142" i="5"/>
  <c r="AW142" i="5" s="1"/>
  <c r="AV31" i="5"/>
  <c r="AW31" i="5" s="1"/>
  <c r="AV63" i="5"/>
  <c r="AW63" i="5" s="1"/>
  <c r="AV95" i="5"/>
  <c r="AW95" i="5" s="1"/>
  <c r="AV127" i="5"/>
  <c r="AV159" i="5"/>
  <c r="AW159" i="5" s="1"/>
  <c r="AV64" i="5"/>
  <c r="AW64" i="5" s="1"/>
  <c r="BA64" i="5" s="1"/>
  <c r="AV96" i="5"/>
  <c r="AW96" i="5" s="1"/>
  <c r="BA96" i="5" s="1"/>
  <c r="AV65" i="5"/>
  <c r="AW65" i="5" s="1"/>
  <c r="BA65" i="5" s="1"/>
  <c r="AV50" i="5"/>
  <c r="AW50" i="5" s="1"/>
  <c r="AV82" i="5"/>
  <c r="AW82" i="5" s="1"/>
  <c r="AV146" i="5"/>
  <c r="AV27" i="5"/>
  <c r="AV59" i="5"/>
  <c r="AW59" i="5" s="1"/>
  <c r="AV91" i="5"/>
  <c r="AW91" i="5" s="1"/>
  <c r="AV123" i="5"/>
  <c r="AW123" i="5" s="1"/>
  <c r="AV155" i="5"/>
  <c r="AW155" i="5" s="1"/>
  <c r="AV36" i="5"/>
  <c r="AW36" i="5" s="1"/>
  <c r="BA36" i="5" s="1"/>
  <c r="AV68" i="5"/>
  <c r="AW68" i="5" s="1"/>
  <c r="AV100" i="5"/>
  <c r="AW100" i="5" s="1"/>
  <c r="BA100" i="5" s="1"/>
  <c r="AV26" i="5"/>
  <c r="AU8" i="5"/>
  <c r="AV78" i="5"/>
  <c r="AW78" i="5" s="1"/>
  <c r="BA78" i="5" s="1"/>
  <c r="G50" i="1"/>
  <c r="F51" i="1"/>
  <c r="AV40" i="5"/>
  <c r="AV72" i="5"/>
  <c r="AW72" i="5" s="1"/>
  <c r="BA72" i="5" s="1"/>
  <c r="AV136" i="5"/>
  <c r="AW136" i="5" s="1"/>
  <c r="AV41" i="5"/>
  <c r="AW41" i="5" s="1"/>
  <c r="AV73" i="5"/>
  <c r="AW73" i="5" s="1"/>
  <c r="BA73" i="5" s="1"/>
  <c r="AV105" i="5"/>
  <c r="AW105" i="5" s="1"/>
  <c r="AV137" i="5"/>
  <c r="AW137" i="5" s="1"/>
  <c r="AV18" i="5"/>
  <c r="AW18" i="5" s="1"/>
  <c r="AV114" i="5"/>
  <c r="AW114" i="5" s="1"/>
  <c r="BA114" i="5" s="1"/>
  <c r="AV132" i="5"/>
  <c r="AW132" i="5" s="1"/>
  <c r="BA132" i="5" s="1"/>
  <c r="AV37" i="5"/>
  <c r="AW37" i="5" s="1"/>
  <c r="AT9" i="5"/>
  <c r="AV101" i="5"/>
  <c r="AW101" i="5" s="1"/>
  <c r="BA101" i="5" s="1"/>
  <c r="AV22" i="5"/>
  <c r="AW22" i="5" s="1"/>
  <c r="AV86" i="5"/>
  <c r="AW86" i="5" s="1"/>
  <c r="AV150" i="5"/>
  <c r="AW150" i="5" s="1"/>
  <c r="AV140" i="5"/>
  <c r="AV39" i="5"/>
  <c r="AW39" i="5" s="1"/>
  <c r="AV71" i="5"/>
  <c r="AW71" i="5" s="1"/>
  <c r="AV103" i="5"/>
  <c r="AW103" i="5" s="1"/>
  <c r="AV135" i="5"/>
  <c r="AV16" i="5"/>
  <c r="AW16" i="5" s="1"/>
  <c r="AU7" i="5"/>
  <c r="AV104" i="5"/>
  <c r="AW104" i="5" s="1"/>
  <c r="BA104" i="5" s="1"/>
  <c r="AV58" i="5"/>
  <c r="AW58" i="5" s="1"/>
  <c r="AV90" i="5"/>
  <c r="AW90" i="5" s="1"/>
  <c r="AV122" i="5"/>
  <c r="AW122" i="5" s="1"/>
  <c r="AV154" i="5"/>
  <c r="AW154" i="5" s="1"/>
  <c r="AV67" i="5"/>
  <c r="AW67" i="5" s="1"/>
  <c r="AV131" i="5"/>
  <c r="AW131" i="5" s="1"/>
  <c r="AV163" i="5"/>
  <c r="AW163" i="5" s="1"/>
  <c r="AV44" i="5"/>
  <c r="AW44" i="5" s="1"/>
  <c r="AV76" i="5"/>
  <c r="AW76" i="5" s="1"/>
  <c r="AV148" i="5"/>
  <c r="AV61" i="5"/>
  <c r="AW61" i="5" s="1"/>
  <c r="BA61" i="5" s="1"/>
  <c r="AV133" i="5"/>
  <c r="AW133" i="5" s="1"/>
  <c r="AV77" i="5"/>
  <c r="AW77" i="5" s="1"/>
  <c r="AV109" i="5"/>
  <c r="AW109" i="5" s="1"/>
  <c r="AV141" i="5"/>
  <c r="AV54" i="5"/>
  <c r="AW54" i="5" s="1"/>
  <c r="BA54" i="5" s="1"/>
  <c r="AV118" i="5"/>
  <c r="AW118" i="5" s="1"/>
  <c r="BA118" i="5" s="1"/>
  <c r="AV48" i="5"/>
  <c r="AW48" i="5" s="1"/>
  <c r="AV144" i="5"/>
  <c r="AW144" i="5" s="1"/>
  <c r="AV17" i="5"/>
  <c r="AW17" i="5" s="1"/>
  <c r="AV49" i="5"/>
  <c r="AW49" i="5" s="1"/>
  <c r="AV145" i="5"/>
  <c r="AW145" i="5" s="1"/>
  <c r="AV35" i="5"/>
  <c r="AW35" i="5" s="1"/>
  <c r="BA35" i="5" s="1"/>
  <c r="AV99" i="5"/>
  <c r="AW99" i="5" s="1"/>
  <c r="BA99" i="5" s="1"/>
  <c r="AV108" i="5"/>
  <c r="AW108" i="5" s="1"/>
  <c r="BA108" i="5" s="1"/>
  <c r="AV45" i="5"/>
  <c r="AW45" i="5" s="1"/>
  <c r="AV80" i="5"/>
  <c r="AV112" i="5"/>
  <c r="AW112" i="5" s="1"/>
  <c r="BA112" i="5" s="1"/>
  <c r="AV81" i="5"/>
  <c r="AW81" i="5" s="1"/>
  <c r="BA81" i="5" s="1"/>
  <c r="AV113" i="5"/>
  <c r="AW113" i="5" s="1"/>
  <c r="BA113" i="5" s="1"/>
  <c r="AV34" i="5"/>
  <c r="AV66" i="5"/>
  <c r="AW66" i="5" s="1"/>
  <c r="AV130" i="5"/>
  <c r="AW130" i="5" s="1"/>
  <c r="AV162" i="5"/>
  <c r="AV43" i="5"/>
  <c r="AW43" i="5" s="1"/>
  <c r="AV107" i="5"/>
  <c r="AW107" i="5" s="1"/>
  <c r="AV139" i="5"/>
  <c r="AW139" i="5" s="1"/>
  <c r="AV20" i="5"/>
  <c r="AW20" i="5" s="1"/>
  <c r="AV52" i="5"/>
  <c r="AV84" i="5"/>
  <c r="AW84" i="5" s="1"/>
  <c r="BA84" i="5" s="1"/>
  <c r="AV116" i="5"/>
  <c r="AW116" i="5" s="1"/>
  <c r="AV156" i="5"/>
  <c r="AV30" i="5"/>
  <c r="AW30" i="5" s="1"/>
  <c r="AV94" i="5"/>
  <c r="AW94" i="5" s="1"/>
  <c r="AV126" i="5"/>
  <c r="AW126" i="5" s="1"/>
  <c r="AV164" i="5"/>
  <c r="AW164" i="5" s="1"/>
  <c r="AV47" i="5"/>
  <c r="AW47" i="5" s="1"/>
  <c r="AV111" i="5"/>
  <c r="AW111" i="5" s="1"/>
  <c r="AV143" i="5"/>
  <c r="AW143" i="5" s="1"/>
  <c r="AV69" i="5"/>
  <c r="AW69" i="5" s="1"/>
  <c r="AU5" i="5"/>
  <c r="AV117" i="5"/>
  <c r="AW117" i="5" s="1"/>
  <c r="AV149" i="5"/>
  <c r="AW149" i="5" s="1"/>
  <c r="AV62" i="5"/>
  <c r="AW62" i="5" s="1"/>
  <c r="BA62" i="5" s="1"/>
  <c r="AV158" i="5"/>
  <c r="AW158" i="5" s="1"/>
  <c r="BA158" i="5" s="1"/>
  <c r="AV79" i="5"/>
  <c r="AW79" i="5" s="1"/>
  <c r="BA79" i="5" s="1"/>
  <c r="AV24" i="5"/>
  <c r="AW24" i="5" s="1"/>
  <c r="AV56" i="5"/>
  <c r="AV88" i="5"/>
  <c r="AW88" i="5" s="1"/>
  <c r="BA88" i="5" s="1"/>
  <c r="AV120" i="5"/>
  <c r="AW120" i="5" s="1"/>
  <c r="AV152" i="5"/>
  <c r="AV25" i="5"/>
  <c r="AV57" i="5"/>
  <c r="AW57" i="5" s="1"/>
  <c r="AV121" i="5"/>
  <c r="AW121" i="5" s="1"/>
  <c r="AV153" i="5"/>
  <c r="AV98" i="5"/>
  <c r="AV75" i="5"/>
  <c r="AW75" i="5" s="1"/>
  <c r="BA75" i="5" s="1"/>
  <c r="AV21" i="5"/>
  <c r="AW21" i="5" s="1"/>
  <c r="AV53" i="5"/>
  <c r="AV85" i="5"/>
  <c r="AV38" i="5"/>
  <c r="AW38" i="5" s="1"/>
  <c r="AV70" i="5"/>
  <c r="AW70" i="5" s="1"/>
  <c r="AV102" i="5"/>
  <c r="AW102" i="5" s="1"/>
  <c r="AV134" i="5"/>
  <c r="AW134" i="5" s="1"/>
  <c r="K49" i="1"/>
  <c r="I49" i="1"/>
  <c r="N49" i="1"/>
  <c r="AV23" i="5"/>
  <c r="AW23" i="5" s="1"/>
  <c r="AV55" i="5"/>
  <c r="AW55" i="5" s="1"/>
  <c r="AV87" i="5"/>
  <c r="AV119" i="5"/>
  <c r="AW119" i="5" s="1"/>
  <c r="AV151" i="5"/>
  <c r="AW151" i="5" s="1"/>
  <c r="AV89" i="5"/>
  <c r="AW89" i="5" s="1"/>
  <c r="BA89" i="5" s="1"/>
  <c r="AV42" i="5"/>
  <c r="AV106" i="5"/>
  <c r="AW106" i="5" s="1"/>
  <c r="AV138" i="5"/>
  <c r="AV19" i="5"/>
  <c r="AW19" i="5" s="1"/>
  <c r="AV147" i="5"/>
  <c r="AW147" i="5" s="1"/>
  <c r="AV28" i="5"/>
  <c r="AV60" i="5"/>
  <c r="AV92" i="5"/>
  <c r="AW92" i="5" s="1"/>
  <c r="AV124" i="5"/>
  <c r="AW124" i="5" s="1"/>
  <c r="AX89" i="5" l="1"/>
  <c r="AX55" i="5"/>
  <c r="AX70" i="5"/>
  <c r="AX21" i="5"/>
  <c r="AX121" i="5"/>
  <c r="AX79" i="5"/>
  <c r="AX52" i="5"/>
  <c r="AX34" i="5"/>
  <c r="AX80" i="5"/>
  <c r="AX141" i="5"/>
  <c r="AX71" i="5"/>
  <c r="AX86" i="5"/>
  <c r="AX82" i="5"/>
  <c r="AX64" i="5"/>
  <c r="AX63" i="5"/>
  <c r="AX93" i="5"/>
  <c r="AX33" i="5"/>
  <c r="AX75" i="5"/>
  <c r="AX57" i="5"/>
  <c r="AX88" i="5"/>
  <c r="AU9" i="5"/>
  <c r="AX47" i="5"/>
  <c r="AX30" i="5"/>
  <c r="AW52" i="5"/>
  <c r="AX43" i="5"/>
  <c r="AW34" i="5"/>
  <c r="AW80" i="5"/>
  <c r="BA80" i="5" s="1"/>
  <c r="AX35" i="5"/>
  <c r="AX144" i="5"/>
  <c r="AW141" i="5"/>
  <c r="AX61" i="5"/>
  <c r="AX163" i="5"/>
  <c r="AX122" i="5"/>
  <c r="AV7" i="5"/>
  <c r="AX16" i="5"/>
  <c r="AX132" i="5"/>
  <c r="AX105" i="5"/>
  <c r="AX72" i="5"/>
  <c r="AX78" i="5"/>
  <c r="AX59" i="5"/>
  <c r="AX159" i="5"/>
  <c r="AX115" i="5"/>
  <c r="AX160" i="5"/>
  <c r="AX158" i="5"/>
  <c r="AX162" i="5"/>
  <c r="AX39" i="5"/>
  <c r="AX22" i="5"/>
  <c r="AX40" i="5"/>
  <c r="AX36" i="5"/>
  <c r="AX50" i="5"/>
  <c r="AX31" i="5"/>
  <c r="AX29" i="5"/>
  <c r="AX161" i="5"/>
  <c r="AX60" i="5"/>
  <c r="AX151" i="5"/>
  <c r="AX23" i="5"/>
  <c r="AX156" i="5"/>
  <c r="AX148" i="5"/>
  <c r="AX28" i="5"/>
  <c r="AX85" i="5"/>
  <c r="AX98" i="5"/>
  <c r="AX25" i="5"/>
  <c r="AX56" i="5"/>
  <c r="AX69" i="5"/>
  <c r="AV5" i="5"/>
  <c r="AW156" i="5"/>
  <c r="AX20" i="5"/>
  <c r="AW162" i="5"/>
  <c r="AX113" i="5"/>
  <c r="AX45" i="5"/>
  <c r="AX109" i="5"/>
  <c r="AW148" i="5"/>
  <c r="AX131" i="5"/>
  <c r="AX90" i="5"/>
  <c r="AX135" i="5"/>
  <c r="AX140" i="5"/>
  <c r="AX114" i="5"/>
  <c r="AX73" i="5"/>
  <c r="AW40" i="5"/>
  <c r="AV8" i="5"/>
  <c r="AX26" i="5"/>
  <c r="AX27" i="5"/>
  <c r="AX127" i="5"/>
  <c r="AX83" i="5"/>
  <c r="AX129" i="5"/>
  <c r="AX128" i="5"/>
  <c r="AX138" i="5"/>
  <c r="AW138" i="5"/>
  <c r="AX145" i="5"/>
  <c r="AX48" i="5"/>
  <c r="AX134" i="5"/>
  <c r="AW85" i="5"/>
  <c r="BA85" i="5" s="1"/>
  <c r="AW98" i="5"/>
  <c r="BA98" i="5" s="1"/>
  <c r="AW25" i="5"/>
  <c r="AW56" i="5"/>
  <c r="AX62" i="5"/>
  <c r="AX143" i="5"/>
  <c r="AX126" i="5"/>
  <c r="AX116" i="5"/>
  <c r="AX139" i="5"/>
  <c r="AX108" i="5"/>
  <c r="AX118" i="5"/>
  <c r="AX67" i="5"/>
  <c r="AX58" i="5"/>
  <c r="AW135" i="5"/>
  <c r="AW140" i="5"/>
  <c r="AX101" i="5"/>
  <c r="AX18" i="5"/>
  <c r="F52" i="1"/>
  <c r="G51" i="1"/>
  <c r="H51" i="1" s="1"/>
  <c r="AW26" i="5"/>
  <c r="AX155" i="5"/>
  <c r="AW27" i="5"/>
  <c r="AX65" i="5"/>
  <c r="AW127" i="5"/>
  <c r="AX142" i="5"/>
  <c r="AX157" i="5"/>
  <c r="AW83" i="5"/>
  <c r="BA83" i="5" s="1"/>
  <c r="AW129" i="5"/>
  <c r="AW128" i="5"/>
  <c r="AX42" i="5"/>
  <c r="AX87" i="5"/>
  <c r="AX53" i="5"/>
  <c r="AX153" i="5"/>
  <c r="AX152" i="5"/>
  <c r="AX130" i="5"/>
  <c r="AX81" i="5"/>
  <c r="AX49" i="5"/>
  <c r="AX77" i="5"/>
  <c r="AX76" i="5"/>
  <c r="AX41" i="5"/>
  <c r="N50" i="1"/>
  <c r="K50" i="1"/>
  <c r="I50" i="1"/>
  <c r="AX146" i="5"/>
  <c r="AX110" i="5"/>
  <c r="AX125" i="5"/>
  <c r="AX32" i="5"/>
  <c r="AW60" i="5"/>
  <c r="AX38" i="5"/>
  <c r="BA69" i="5"/>
  <c r="BA5" i="5" s="1"/>
  <c r="AW5" i="5"/>
  <c r="AX164" i="5"/>
  <c r="AW28" i="5"/>
  <c r="AX106" i="5"/>
  <c r="AX119" i="5"/>
  <c r="AX124" i="5"/>
  <c r="AX147" i="5"/>
  <c r="AW42" i="5"/>
  <c r="AW87" i="5"/>
  <c r="AX102" i="5"/>
  <c r="AW53" i="5"/>
  <c r="AW153" i="5"/>
  <c r="AW152" i="5"/>
  <c r="AX24" i="5"/>
  <c r="AX149" i="5"/>
  <c r="AX94" i="5"/>
  <c r="AX84" i="5"/>
  <c r="AX107" i="5"/>
  <c r="AX66" i="5"/>
  <c r="AX112" i="5"/>
  <c r="AX17" i="5"/>
  <c r="AX54" i="5"/>
  <c r="AX133" i="5"/>
  <c r="AX44" i="5"/>
  <c r="AX103" i="5"/>
  <c r="AX150" i="5"/>
  <c r="AX37" i="5"/>
  <c r="AX137" i="5"/>
  <c r="AX136" i="5"/>
  <c r="H50" i="1"/>
  <c r="AX100" i="5"/>
  <c r="AX123" i="5"/>
  <c r="AW146" i="5"/>
  <c r="AX96" i="5"/>
  <c r="AX95" i="5"/>
  <c r="AW110" i="5"/>
  <c r="BA110" i="5" s="1"/>
  <c r="AW125" i="5"/>
  <c r="AX51" i="5"/>
  <c r="AX97" i="5"/>
  <c r="AW32" i="5"/>
  <c r="AX92" i="5"/>
  <c r="AX19" i="5"/>
  <c r="AX120" i="5"/>
  <c r="AX117" i="5"/>
  <c r="AX111" i="5"/>
  <c r="AX99" i="5"/>
  <c r="AX154" i="5"/>
  <c r="AX104" i="5"/>
  <c r="AX68" i="5"/>
  <c r="AX91" i="5"/>
  <c r="AX46" i="5"/>
  <c r="AX74" i="5"/>
  <c r="AW7" i="5" l="1"/>
  <c r="G52" i="1"/>
  <c r="H52" i="1" s="1"/>
  <c r="F53" i="1"/>
  <c r="AX8" i="5"/>
  <c r="AX7" i="5"/>
  <c r="AV9" i="5"/>
  <c r="AW8" i="5"/>
  <c r="BA26" i="5"/>
  <c r="BA8" i="5" s="1"/>
  <c r="BA9" i="5" s="1"/>
  <c r="AX5" i="5"/>
  <c r="K51" i="1"/>
  <c r="I51" i="1"/>
  <c r="N51" i="1"/>
  <c r="AW9" i="5" l="1"/>
  <c r="AX9" i="5"/>
  <c r="AY30" i="5" s="1"/>
  <c r="AZ30" i="5" s="1"/>
  <c r="AY102" i="5"/>
  <c r="AZ102" i="5" s="1"/>
  <c r="AY29" i="5"/>
  <c r="AZ29" i="5" s="1"/>
  <c r="AY138" i="5"/>
  <c r="AZ138" i="5" s="1"/>
  <c r="AY137" i="5"/>
  <c r="AZ137" i="5" s="1"/>
  <c r="AY105" i="5"/>
  <c r="AZ105" i="5" s="1"/>
  <c r="AY87" i="5"/>
  <c r="AZ87" i="5" s="1"/>
  <c r="AY72" i="5"/>
  <c r="AY81" i="5"/>
  <c r="AY43" i="5"/>
  <c r="AZ43" i="5" s="1"/>
  <c r="AY25" i="5"/>
  <c r="AZ25" i="5" s="1"/>
  <c r="AY78" i="5"/>
  <c r="AY159" i="5"/>
  <c r="AZ159" i="5" s="1"/>
  <c r="AY122" i="5"/>
  <c r="AZ122" i="5" s="1"/>
  <c r="AY157" i="5"/>
  <c r="AZ157" i="5" s="1"/>
  <c r="AY21" i="5"/>
  <c r="AZ21" i="5" s="1"/>
  <c r="AY146" i="5"/>
  <c r="AZ146" i="5" s="1"/>
  <c r="AY115" i="5"/>
  <c r="AY41" i="5"/>
  <c r="AZ41" i="5" s="1"/>
  <c r="AY160" i="5"/>
  <c r="AZ160" i="5" s="1"/>
  <c r="AY20" i="5"/>
  <c r="AZ20" i="5" s="1"/>
  <c r="AY48" i="5"/>
  <c r="AZ48" i="5" s="1"/>
  <c r="AY28" i="5"/>
  <c r="AZ28" i="5" s="1"/>
  <c r="AY149" i="5"/>
  <c r="AZ149" i="5" s="1"/>
  <c r="AY33" i="5"/>
  <c r="AZ33" i="5" s="1"/>
  <c r="AY42" i="5"/>
  <c r="AZ42" i="5" s="1"/>
  <c r="AY19" i="5"/>
  <c r="AZ19" i="5" s="1"/>
  <c r="AY85" i="5"/>
  <c r="AY55" i="5"/>
  <c r="AZ55" i="5" s="1"/>
  <c r="AY162" i="5"/>
  <c r="AZ162" i="5" s="1"/>
  <c r="AY76" i="5"/>
  <c r="AZ76" i="5" s="1"/>
  <c r="AY36" i="5"/>
  <c r="AY164" i="5"/>
  <c r="AZ164" i="5" s="1"/>
  <c r="AY93" i="5"/>
  <c r="AZ93" i="5" s="1"/>
  <c r="AY70" i="5"/>
  <c r="AZ70" i="5" s="1"/>
  <c r="AY109" i="5"/>
  <c r="AZ109" i="5" s="1"/>
  <c r="AY32" i="5"/>
  <c r="AZ32" i="5" s="1"/>
  <c r="AY62" i="5"/>
  <c r="AY140" i="5"/>
  <c r="AZ140" i="5" s="1"/>
  <c r="AY24" i="5"/>
  <c r="AZ24" i="5" s="1"/>
  <c r="AY58" i="5"/>
  <c r="AZ58" i="5" s="1"/>
  <c r="AY142" i="5"/>
  <c r="AZ142" i="5" s="1"/>
  <c r="AY79" i="5"/>
  <c r="AY125" i="5"/>
  <c r="AZ125" i="5" s="1"/>
  <c r="AY161" i="5"/>
  <c r="AZ161" i="5" s="1"/>
  <c r="AY84" i="5"/>
  <c r="AY88" i="5"/>
  <c r="AY52" i="5"/>
  <c r="AZ52" i="5" s="1"/>
  <c r="AY145" i="5"/>
  <c r="AZ145" i="5" s="1"/>
  <c r="AY147" i="5"/>
  <c r="AZ147" i="5" s="1"/>
  <c r="AY111" i="5"/>
  <c r="AZ111" i="5" s="1"/>
  <c r="AY107" i="5"/>
  <c r="AZ107" i="5" s="1"/>
  <c r="AY49" i="5"/>
  <c r="AZ49" i="5" s="1"/>
  <c r="AY91" i="5"/>
  <c r="AZ91" i="5" s="1"/>
  <c r="AY69" i="5"/>
  <c r="AY141" i="5"/>
  <c r="AZ141" i="5" s="1"/>
  <c r="AY45" i="5"/>
  <c r="AZ45" i="5" s="1"/>
  <c r="AY124" i="5"/>
  <c r="AZ124" i="5" s="1"/>
  <c r="AY156" i="5"/>
  <c r="AZ156" i="5" s="1"/>
  <c r="AY17" i="5"/>
  <c r="AZ17" i="5" s="1"/>
  <c r="AY71" i="5"/>
  <c r="AZ71" i="5" s="1"/>
  <c r="AY116" i="5"/>
  <c r="AZ116" i="5" s="1"/>
  <c r="AY117" i="5"/>
  <c r="AZ117" i="5" s="1"/>
  <c r="AY39" i="5"/>
  <c r="AZ39" i="5" s="1"/>
  <c r="AY26" i="5"/>
  <c r="AY54" i="5"/>
  <c r="AY106" i="5"/>
  <c r="AZ106" i="5" s="1"/>
  <c r="AY152" i="5"/>
  <c r="AZ152" i="5" s="1"/>
  <c r="AY99" i="5"/>
  <c r="AY131" i="5"/>
  <c r="AZ131" i="5" s="1"/>
  <c r="AY133" i="5"/>
  <c r="AZ133" i="5" s="1"/>
  <c r="AY59" i="5"/>
  <c r="AZ59" i="5" s="1"/>
  <c r="AY77" i="5"/>
  <c r="AZ77" i="5" s="1"/>
  <c r="AY114" i="5"/>
  <c r="AY37" i="5"/>
  <c r="AZ37" i="5" s="1"/>
  <c r="AY158" i="5"/>
  <c r="AY110" i="5"/>
  <c r="AY47" i="5"/>
  <c r="AZ47" i="5" s="1"/>
  <c r="AY90" i="5"/>
  <c r="AZ90" i="5" s="1"/>
  <c r="AY94" i="5"/>
  <c r="AZ94" i="5" s="1"/>
  <c r="AY64" i="5"/>
  <c r="AY126" i="5"/>
  <c r="AZ126" i="5" s="1"/>
  <c r="AY120" i="5"/>
  <c r="AZ120" i="5" s="1"/>
  <c r="AY98" i="5"/>
  <c r="AY103" i="5"/>
  <c r="AZ103" i="5" s="1"/>
  <c r="AY16" i="5"/>
  <c r="AY63" i="5"/>
  <c r="AZ63" i="5" s="1"/>
  <c r="AY67" i="5"/>
  <c r="AZ67" i="5" s="1"/>
  <c r="AY104" i="5"/>
  <c r="AY50" i="5"/>
  <c r="AZ50" i="5" s="1"/>
  <c r="AY129" i="5"/>
  <c r="AZ129" i="5" s="1"/>
  <c r="AY150" i="5"/>
  <c r="AZ150" i="5" s="1"/>
  <c r="AY100" i="5"/>
  <c r="AY61" i="5"/>
  <c r="AY27" i="5"/>
  <c r="AZ27" i="5" s="1"/>
  <c r="AY89" i="5"/>
  <c r="AY113" i="5"/>
  <c r="AY163" i="5"/>
  <c r="AZ163" i="5" s="1"/>
  <c r="AY73" i="5"/>
  <c r="AY112" i="5"/>
  <c r="AY75" i="5"/>
  <c r="AY118" i="5"/>
  <c r="AY154" i="5"/>
  <c r="AZ154" i="5" s="1"/>
  <c r="AY135" i="5"/>
  <c r="AZ135" i="5" s="1"/>
  <c r="AY136" i="5"/>
  <c r="AZ136" i="5" s="1"/>
  <c r="AY139" i="5"/>
  <c r="AZ139" i="5" s="1"/>
  <c r="AY57" i="5"/>
  <c r="AZ57" i="5" s="1"/>
  <c r="AY18" i="5"/>
  <c r="AZ18" i="5" s="1"/>
  <c r="AY74" i="5"/>
  <c r="AY60" i="5"/>
  <c r="AZ60" i="5" s="1"/>
  <c r="F54" i="1"/>
  <c r="G53" i="1"/>
  <c r="AY95" i="5"/>
  <c r="AZ95" i="5" s="1"/>
  <c r="AY92" i="5"/>
  <c r="AZ92" i="5" s="1"/>
  <c r="AY22" i="5"/>
  <c r="AZ22" i="5" s="1"/>
  <c r="AY128" i="5"/>
  <c r="AZ128" i="5" s="1"/>
  <c r="AY121" i="5"/>
  <c r="AZ121" i="5" s="1"/>
  <c r="AY134" i="5"/>
  <c r="AZ134" i="5" s="1"/>
  <c r="AY119" i="5"/>
  <c r="AZ119" i="5" s="1"/>
  <c r="AY40" i="5"/>
  <c r="AZ40" i="5" s="1"/>
  <c r="AY127" i="5"/>
  <c r="AZ127" i="5" s="1"/>
  <c r="AY44" i="5"/>
  <c r="AZ44" i="5" s="1"/>
  <c r="AY35" i="5"/>
  <c r="AY101" i="5"/>
  <c r="AY46" i="5"/>
  <c r="AZ46" i="5" s="1"/>
  <c r="AY83" i="5"/>
  <c r="AY96" i="5"/>
  <c r="AY65" i="5"/>
  <c r="AY144" i="5"/>
  <c r="AZ144" i="5" s="1"/>
  <c r="AY53" i="5"/>
  <c r="AZ53" i="5" s="1"/>
  <c r="AY86" i="5"/>
  <c r="AZ86" i="5" s="1"/>
  <c r="AY148" i="5"/>
  <c r="AZ148" i="5" s="1"/>
  <c r="N52" i="1"/>
  <c r="K52" i="1"/>
  <c r="I52" i="1"/>
  <c r="AY34" i="5"/>
  <c r="AZ34" i="5" s="1"/>
  <c r="AY153" i="5" l="1"/>
  <c r="AZ153" i="5" s="1"/>
  <c r="AY130" i="5"/>
  <c r="AZ130" i="5" s="1"/>
  <c r="AY97" i="5"/>
  <c r="AZ97" i="5" s="1"/>
  <c r="AY51" i="5"/>
  <c r="AY155" i="5"/>
  <c r="AZ155" i="5" s="1"/>
  <c r="AY68" i="5"/>
  <c r="AZ68" i="5" s="1"/>
  <c r="AY108" i="5"/>
  <c r="AY151" i="5"/>
  <c r="AZ151" i="5" s="1"/>
  <c r="AY143" i="5"/>
  <c r="AZ143" i="5" s="1"/>
  <c r="AY31" i="5"/>
  <c r="AZ31" i="5" s="1"/>
  <c r="AY132" i="5"/>
  <c r="AY66" i="5"/>
  <c r="AZ66" i="5" s="1"/>
  <c r="AY23" i="5"/>
  <c r="AZ23" i="5" s="1"/>
  <c r="AY82" i="5"/>
  <c r="AZ82" i="5" s="1"/>
  <c r="AY123" i="5"/>
  <c r="AZ123" i="5" s="1"/>
  <c r="AY80" i="5"/>
  <c r="AY38" i="5"/>
  <c r="AZ38" i="5" s="1"/>
  <c r="AY56" i="5"/>
  <c r="AZ56" i="5" s="1"/>
  <c r="BJ121" i="5"/>
  <c r="BE121" i="5"/>
  <c r="G54" i="1"/>
  <c r="F55" i="1"/>
  <c r="BJ27" i="5"/>
  <c r="BE27" i="5"/>
  <c r="BB98" i="5"/>
  <c r="AZ98" i="5"/>
  <c r="BE152" i="5"/>
  <c r="BJ152" i="5"/>
  <c r="BJ17" i="5"/>
  <c r="BE17" i="5"/>
  <c r="BJ147" i="5"/>
  <c r="BE147" i="5"/>
  <c r="BJ32" i="5"/>
  <c r="BE32" i="5"/>
  <c r="BJ55" i="5"/>
  <c r="BE55" i="5"/>
  <c r="BJ43" i="5"/>
  <c r="BE43" i="5"/>
  <c r="BJ148" i="5"/>
  <c r="BE148" i="5"/>
  <c r="BB101" i="5"/>
  <c r="AZ101" i="5"/>
  <c r="BJ128" i="5"/>
  <c r="BE128" i="5"/>
  <c r="BJ60" i="5"/>
  <c r="BE60" i="5"/>
  <c r="BB118" i="5"/>
  <c r="AZ118" i="5"/>
  <c r="BB61" i="5"/>
  <c r="AZ61" i="5"/>
  <c r="BJ129" i="5"/>
  <c r="BE129" i="5"/>
  <c r="BJ120" i="5"/>
  <c r="BE120" i="5"/>
  <c r="BJ37" i="5"/>
  <c r="BE37" i="5"/>
  <c r="BJ106" i="5"/>
  <c r="BE106" i="5"/>
  <c r="BJ156" i="5"/>
  <c r="BE156" i="5"/>
  <c r="BJ145" i="5"/>
  <c r="BE145" i="5"/>
  <c r="BJ109" i="5"/>
  <c r="BE109" i="5"/>
  <c r="BB85" i="5"/>
  <c r="AZ85" i="5"/>
  <c r="BJ146" i="5"/>
  <c r="BE146" i="5"/>
  <c r="BB81" i="5"/>
  <c r="AZ81" i="5"/>
  <c r="BJ137" i="5"/>
  <c r="BE137" i="5"/>
  <c r="BJ46" i="5"/>
  <c r="BE46" i="5"/>
  <c r="BJ150" i="5"/>
  <c r="BE150" i="5"/>
  <c r="BB158" i="5"/>
  <c r="AZ158" i="5"/>
  <c r="BB115" i="5"/>
  <c r="AZ115" i="5"/>
  <c r="BJ105" i="5"/>
  <c r="BE105" i="5"/>
  <c r="BJ86" i="5"/>
  <c r="BE86" i="5"/>
  <c r="BB35" i="5"/>
  <c r="AZ35" i="5"/>
  <c r="BJ22" i="5"/>
  <c r="BE22" i="5"/>
  <c r="BB74" i="5"/>
  <c r="AZ74" i="5"/>
  <c r="BB75" i="5"/>
  <c r="AZ75" i="5"/>
  <c r="BJ50" i="5"/>
  <c r="BE50" i="5"/>
  <c r="BJ126" i="5"/>
  <c r="BE126" i="5"/>
  <c r="BB114" i="5"/>
  <c r="AZ114" i="5"/>
  <c r="BB54" i="5"/>
  <c r="AZ54" i="5"/>
  <c r="BJ124" i="5"/>
  <c r="BE124" i="5"/>
  <c r="BJ52" i="5"/>
  <c r="BE52" i="5"/>
  <c r="BJ70" i="5"/>
  <c r="BE70" i="5"/>
  <c r="BJ19" i="5"/>
  <c r="BE19" i="5"/>
  <c r="BJ21" i="5"/>
  <c r="BE21" i="5"/>
  <c r="BB72" i="5"/>
  <c r="AZ72" i="5"/>
  <c r="BJ138" i="5"/>
  <c r="BE138" i="5"/>
  <c r="BJ154" i="5"/>
  <c r="BE154" i="5"/>
  <c r="BJ142" i="5"/>
  <c r="BE142" i="5"/>
  <c r="BJ53" i="5"/>
  <c r="BE53" i="5"/>
  <c r="BJ44" i="5"/>
  <c r="BE44" i="5"/>
  <c r="BJ92" i="5"/>
  <c r="BE92" i="5"/>
  <c r="BJ18" i="5"/>
  <c r="BE18" i="5"/>
  <c r="BB112" i="5"/>
  <c r="AZ112" i="5"/>
  <c r="BB104" i="5"/>
  <c r="AZ104" i="5"/>
  <c r="BB64" i="5"/>
  <c r="AZ64" i="5"/>
  <c r="BJ77" i="5"/>
  <c r="BE77" i="5"/>
  <c r="BB26" i="5"/>
  <c r="AZ26" i="5"/>
  <c r="BJ45" i="5"/>
  <c r="BE45" i="5"/>
  <c r="BB88" i="5"/>
  <c r="AZ88" i="5"/>
  <c r="BJ93" i="5"/>
  <c r="BE93" i="5"/>
  <c r="BJ42" i="5"/>
  <c r="BE42" i="5"/>
  <c r="BJ157" i="5"/>
  <c r="BE157" i="5"/>
  <c r="BJ153" i="5"/>
  <c r="BE153" i="5"/>
  <c r="BJ29" i="5"/>
  <c r="BE29" i="5"/>
  <c r="BJ144" i="5"/>
  <c r="BE144" i="5"/>
  <c r="BJ127" i="5"/>
  <c r="BE127" i="5"/>
  <c r="BJ95" i="5"/>
  <c r="BE95" i="5"/>
  <c r="BJ57" i="5"/>
  <c r="BE57" i="5"/>
  <c r="BB73" i="5"/>
  <c r="AZ73" i="5"/>
  <c r="BJ67" i="5"/>
  <c r="BE67" i="5"/>
  <c r="BJ94" i="5"/>
  <c r="BE94" i="5"/>
  <c r="BJ59" i="5"/>
  <c r="BE59" i="5"/>
  <c r="BJ39" i="5"/>
  <c r="BE39" i="5"/>
  <c r="BJ141" i="5"/>
  <c r="BE141" i="5"/>
  <c r="BB84" i="5"/>
  <c r="AZ84" i="5"/>
  <c r="BJ58" i="5"/>
  <c r="BE58" i="5"/>
  <c r="BJ164" i="5"/>
  <c r="BE164" i="5"/>
  <c r="BJ33" i="5"/>
  <c r="BE33" i="5"/>
  <c r="BJ48" i="5"/>
  <c r="BE48" i="5"/>
  <c r="BJ122" i="5"/>
  <c r="BE122" i="5"/>
  <c r="BJ97" i="5"/>
  <c r="BE97" i="5"/>
  <c r="BJ102" i="5"/>
  <c r="BE102" i="5"/>
  <c r="BJ34" i="5"/>
  <c r="BE34" i="5"/>
  <c r="BB65" i="5"/>
  <c r="AZ65" i="5"/>
  <c r="BJ40" i="5"/>
  <c r="BE40" i="5"/>
  <c r="K53" i="1"/>
  <c r="I53" i="1"/>
  <c r="N53" i="1"/>
  <c r="BJ139" i="5"/>
  <c r="BE139" i="5"/>
  <c r="BJ163" i="5"/>
  <c r="BE163" i="5"/>
  <c r="BJ63" i="5"/>
  <c r="BE63" i="5"/>
  <c r="BJ90" i="5"/>
  <c r="BE90" i="5"/>
  <c r="BJ133" i="5"/>
  <c r="BE133" i="5"/>
  <c r="BJ117" i="5"/>
  <c r="BE117" i="5"/>
  <c r="BB69" i="5"/>
  <c r="AY5" i="5"/>
  <c r="AZ69" i="5"/>
  <c r="BJ49" i="5"/>
  <c r="BE49" i="5"/>
  <c r="BJ161" i="5"/>
  <c r="BE161" i="5"/>
  <c r="BJ24" i="5"/>
  <c r="BE24" i="5"/>
  <c r="BB36" i="5"/>
  <c r="AZ36" i="5"/>
  <c r="BJ149" i="5"/>
  <c r="BE149" i="5"/>
  <c r="BJ20" i="5"/>
  <c r="BE20" i="5"/>
  <c r="BJ130" i="5"/>
  <c r="BE130" i="5"/>
  <c r="BJ155" i="5"/>
  <c r="BE155" i="5"/>
  <c r="BB96" i="5"/>
  <c r="AZ96" i="5"/>
  <c r="BJ119" i="5"/>
  <c r="BE119" i="5"/>
  <c r="BJ136" i="5"/>
  <c r="BE136" i="5"/>
  <c r="BB113" i="5"/>
  <c r="AZ113" i="5"/>
  <c r="AZ16" i="5"/>
  <c r="BJ47" i="5"/>
  <c r="BE47" i="5"/>
  <c r="BJ131" i="5"/>
  <c r="BE131" i="5"/>
  <c r="BJ116" i="5"/>
  <c r="BE116" i="5"/>
  <c r="BJ91" i="5"/>
  <c r="BE91" i="5"/>
  <c r="BJ107" i="5"/>
  <c r="BE107" i="5"/>
  <c r="BJ125" i="5"/>
  <c r="BE125" i="5"/>
  <c r="BJ140" i="5"/>
  <c r="BE140" i="5"/>
  <c r="BJ76" i="5"/>
  <c r="BE76" i="5"/>
  <c r="BJ28" i="5"/>
  <c r="BE28" i="5"/>
  <c r="BJ160" i="5"/>
  <c r="BE160" i="5"/>
  <c r="BJ159" i="5"/>
  <c r="BE159" i="5"/>
  <c r="BB78" i="5"/>
  <c r="AZ78" i="5"/>
  <c r="BJ30" i="5"/>
  <c r="BE30" i="5"/>
  <c r="BB83" i="5"/>
  <c r="AZ83" i="5"/>
  <c r="BJ134" i="5"/>
  <c r="BE134" i="5"/>
  <c r="H53" i="1"/>
  <c r="BJ135" i="5"/>
  <c r="BE135" i="5"/>
  <c r="BB89" i="5"/>
  <c r="AZ89" i="5"/>
  <c r="BB100" i="5"/>
  <c r="AZ100" i="5"/>
  <c r="BJ103" i="5"/>
  <c r="BE103" i="5"/>
  <c r="BB110" i="5"/>
  <c r="AZ110" i="5"/>
  <c r="BB99" i="5"/>
  <c r="AZ99" i="5"/>
  <c r="BJ71" i="5"/>
  <c r="BE71" i="5"/>
  <c r="BJ111" i="5"/>
  <c r="BE111" i="5"/>
  <c r="BB79" i="5"/>
  <c r="AZ79" i="5"/>
  <c r="BB62" i="5"/>
  <c r="AZ62" i="5"/>
  <c r="BJ162" i="5"/>
  <c r="BE162" i="5"/>
  <c r="BJ41" i="5"/>
  <c r="BE41" i="5"/>
  <c r="BB51" i="5"/>
  <c r="AZ51" i="5"/>
  <c r="BJ25" i="5"/>
  <c r="BE25" i="5"/>
  <c r="BJ87" i="5"/>
  <c r="BE87" i="5"/>
  <c r="AZ4" i="5" l="1"/>
  <c r="M29" i="3" s="1"/>
  <c r="AY8" i="5"/>
  <c r="AY7" i="5"/>
  <c r="AY9" i="5" s="1"/>
  <c r="BE23" i="5"/>
  <c r="BJ23" i="5"/>
  <c r="BJ66" i="5"/>
  <c r="BE66" i="5"/>
  <c r="AZ132" i="5"/>
  <c r="BB132" i="5"/>
  <c r="BJ56" i="5"/>
  <c r="BE56" i="5"/>
  <c r="BJ31" i="5"/>
  <c r="BE31" i="5"/>
  <c r="BJ38" i="5"/>
  <c r="BE38" i="5"/>
  <c r="BE143" i="5"/>
  <c r="BJ143" i="5"/>
  <c r="AZ80" i="5"/>
  <c r="BB80" i="5"/>
  <c r="BE151" i="5"/>
  <c r="BJ151" i="5"/>
  <c r="BJ123" i="5"/>
  <c r="BE123" i="5"/>
  <c r="BB108" i="5"/>
  <c r="AZ108" i="5"/>
  <c r="AY3" i="5"/>
  <c r="BC30" i="5" s="1"/>
  <c r="BD30" i="5" s="1"/>
  <c r="BJ82" i="5"/>
  <c r="BE82" i="5"/>
  <c r="BJ68" i="5"/>
  <c r="BE68" i="5"/>
  <c r="BJ79" i="5"/>
  <c r="BE79" i="5"/>
  <c r="BJ99" i="5"/>
  <c r="BE99" i="5"/>
  <c r="H106" i="7"/>
  <c r="CK116" i="5"/>
  <c r="CL116" i="5" s="1"/>
  <c r="BK116" i="5"/>
  <c r="BM116" i="5"/>
  <c r="H123" i="7"/>
  <c r="CK133" i="5"/>
  <c r="CL133" i="5" s="1"/>
  <c r="BK133" i="5"/>
  <c r="BM133" i="5"/>
  <c r="H87" i="7"/>
  <c r="CK97" i="5"/>
  <c r="CL97" i="5" s="1"/>
  <c r="BK97" i="5"/>
  <c r="BM97" i="5"/>
  <c r="H23" i="7"/>
  <c r="CK33" i="5"/>
  <c r="CL33" i="5" s="1"/>
  <c r="BK33" i="5"/>
  <c r="BM33" i="5"/>
  <c r="BJ84" i="5"/>
  <c r="BE84" i="5"/>
  <c r="H131" i="7"/>
  <c r="CK141" i="5"/>
  <c r="CL141" i="5" s="1"/>
  <c r="BM141" i="5"/>
  <c r="BK141" i="5"/>
  <c r="BJ73" i="5"/>
  <c r="BE73" i="5"/>
  <c r="BJ88" i="5"/>
  <c r="BE88" i="5"/>
  <c r="CC77" i="5"/>
  <c r="CE77" i="5" s="1"/>
  <c r="CD77" i="5"/>
  <c r="BJ112" i="5"/>
  <c r="BE112" i="5"/>
  <c r="H43" i="7"/>
  <c r="CK53" i="5"/>
  <c r="CL53" i="5" s="1"/>
  <c r="BK53" i="5"/>
  <c r="BM53" i="5"/>
  <c r="H128" i="7"/>
  <c r="CK138" i="5"/>
  <c r="CL138" i="5" s="1"/>
  <c r="BM138" i="5"/>
  <c r="BK138" i="5"/>
  <c r="H116" i="7"/>
  <c r="CK126" i="5"/>
  <c r="CL126" i="5" s="1"/>
  <c r="BK126" i="5"/>
  <c r="BM126" i="5"/>
  <c r="BJ75" i="5"/>
  <c r="BE75" i="5"/>
  <c r="H96" i="7"/>
  <c r="CK106" i="5"/>
  <c r="CL106" i="5" s="1"/>
  <c r="BM106" i="5"/>
  <c r="BK106" i="5"/>
  <c r="H50" i="7"/>
  <c r="CK60" i="5"/>
  <c r="CL60" i="5" s="1"/>
  <c r="BK60" i="5"/>
  <c r="BM60" i="5"/>
  <c r="H22" i="7"/>
  <c r="CK32" i="5"/>
  <c r="CL32" i="5" s="1"/>
  <c r="BK32" i="5"/>
  <c r="BM32" i="5"/>
  <c r="H14" i="7"/>
  <c r="CK24" i="5"/>
  <c r="CL24" i="5" s="1"/>
  <c r="BK24" i="5"/>
  <c r="BM24" i="5"/>
  <c r="BJ69" i="5"/>
  <c r="BE69" i="5"/>
  <c r="AZ5" i="5"/>
  <c r="CD122" i="5"/>
  <c r="CC122" i="5"/>
  <c r="CE122" i="5" s="1"/>
  <c r="H19" i="7"/>
  <c r="CK29" i="5"/>
  <c r="CL29" i="5" s="1"/>
  <c r="BK29" i="5"/>
  <c r="BM29" i="5"/>
  <c r="H67" i="7"/>
  <c r="CK77" i="5"/>
  <c r="CL77" i="5" s="1"/>
  <c r="BK77" i="5"/>
  <c r="BM77" i="5"/>
  <c r="H9" i="7"/>
  <c r="CK19" i="5"/>
  <c r="CL19" i="5" s="1"/>
  <c r="BK19" i="5"/>
  <c r="BM19" i="5"/>
  <c r="H114" i="7"/>
  <c r="CK124" i="5"/>
  <c r="CL124" i="5" s="1"/>
  <c r="BK124" i="5"/>
  <c r="BM124" i="5"/>
  <c r="BJ81" i="5"/>
  <c r="BE81" i="5"/>
  <c r="H136" i="7"/>
  <c r="CK146" i="5"/>
  <c r="CL146" i="5" s="1"/>
  <c r="BK146" i="5"/>
  <c r="BM146" i="5"/>
  <c r="H135" i="7"/>
  <c r="CK145" i="5"/>
  <c r="CL145" i="5" s="1"/>
  <c r="BK145" i="5"/>
  <c r="BM145" i="5"/>
  <c r="H119" i="7"/>
  <c r="CK129" i="5"/>
  <c r="CL129" i="5" s="1"/>
  <c r="BK129" i="5"/>
  <c r="BM129" i="5"/>
  <c r="CD128" i="5"/>
  <c r="CC128" i="5"/>
  <c r="CE128" i="5" s="1"/>
  <c r="CD43" i="5"/>
  <c r="CC43" i="5"/>
  <c r="CE43" i="5" s="1"/>
  <c r="H142" i="7"/>
  <c r="CK152" i="5"/>
  <c r="CL152" i="5" s="1"/>
  <c r="BK152" i="5"/>
  <c r="BM152" i="5"/>
  <c r="F56" i="1"/>
  <c r="G55" i="1"/>
  <c r="H15" i="7"/>
  <c r="CK25" i="5"/>
  <c r="CL25" i="5" s="1"/>
  <c r="BK25" i="5"/>
  <c r="BM25" i="5"/>
  <c r="BJ89" i="5"/>
  <c r="BE89" i="5"/>
  <c r="H66" i="7"/>
  <c r="CK76" i="5"/>
  <c r="CL76" i="5" s="1"/>
  <c r="BK76" i="5"/>
  <c r="BM76" i="5"/>
  <c r="H97" i="7"/>
  <c r="CK107" i="5"/>
  <c r="CL107" i="5" s="1"/>
  <c r="BK107" i="5"/>
  <c r="BM107" i="5"/>
  <c r="CC131" i="5"/>
  <c r="CE131" i="5" s="1"/>
  <c r="CD131" i="5"/>
  <c r="BJ110" i="5"/>
  <c r="BE110" i="5"/>
  <c r="H20" i="7"/>
  <c r="CK30" i="5"/>
  <c r="CL30" i="5" s="1"/>
  <c r="BK30" i="5"/>
  <c r="BM30" i="5"/>
  <c r="H150" i="7"/>
  <c r="CK160" i="5"/>
  <c r="CL160" i="5" s="1"/>
  <c r="BK160" i="5"/>
  <c r="BM160" i="5"/>
  <c r="BJ113" i="5"/>
  <c r="BE113" i="5"/>
  <c r="H109" i="7"/>
  <c r="CK119" i="5"/>
  <c r="CL119" i="5" s="1"/>
  <c r="BK119" i="5"/>
  <c r="BM119" i="5"/>
  <c r="H10" i="7"/>
  <c r="CK20" i="5"/>
  <c r="CL20" i="5" s="1"/>
  <c r="BK20" i="5"/>
  <c r="BM20" i="5"/>
  <c r="H129" i="7"/>
  <c r="CK139" i="5"/>
  <c r="CL139" i="5" s="1"/>
  <c r="BK139" i="5"/>
  <c r="BM139" i="5"/>
  <c r="H24" i="7"/>
  <c r="CK34" i="5"/>
  <c r="CL34" i="5" s="1"/>
  <c r="BK34" i="5"/>
  <c r="BM34" i="5"/>
  <c r="H112" i="7"/>
  <c r="CK122" i="5"/>
  <c r="CL122" i="5" s="1"/>
  <c r="BK122" i="5"/>
  <c r="BM122" i="5"/>
  <c r="CC164" i="5"/>
  <c r="CD164" i="5"/>
  <c r="H84" i="7"/>
  <c r="CK94" i="5"/>
  <c r="CL94" i="5" s="1"/>
  <c r="BK94" i="5"/>
  <c r="BM94" i="5"/>
  <c r="CD153" i="5"/>
  <c r="CC153" i="5"/>
  <c r="CE153" i="5" s="1"/>
  <c r="H83" i="7"/>
  <c r="CK93" i="5"/>
  <c r="CL93" i="5" s="1"/>
  <c r="BK93" i="5"/>
  <c r="BM93" i="5"/>
  <c r="BJ72" i="5"/>
  <c r="BE72" i="5"/>
  <c r="CC70" i="5"/>
  <c r="CE70" i="5" s="1"/>
  <c r="CD70" i="5"/>
  <c r="BJ74" i="5"/>
  <c r="BE74" i="5"/>
  <c r="H95" i="7"/>
  <c r="CK105" i="5"/>
  <c r="CL105" i="5" s="1"/>
  <c r="BK105" i="5"/>
  <c r="BM105" i="5"/>
  <c r="H27" i="7"/>
  <c r="CK37" i="5"/>
  <c r="CL37" i="5" s="1"/>
  <c r="BK37" i="5"/>
  <c r="BM37" i="5"/>
  <c r="BJ61" i="5"/>
  <c r="BE61" i="5"/>
  <c r="H118" i="7"/>
  <c r="CK128" i="5"/>
  <c r="CL128" i="5" s="1"/>
  <c r="BK128" i="5"/>
  <c r="BM128" i="5"/>
  <c r="N54" i="1"/>
  <c r="K54" i="1"/>
  <c r="I54" i="1"/>
  <c r="H101" i="7"/>
  <c r="CK111" i="5"/>
  <c r="CL111" i="5" s="1"/>
  <c r="BK111" i="5"/>
  <c r="BM111" i="5"/>
  <c r="CD102" i="5"/>
  <c r="CC102" i="5"/>
  <c r="CE102" i="5" s="1"/>
  <c r="H29" i="7"/>
  <c r="CK39" i="5"/>
  <c r="CL39" i="5" s="1"/>
  <c r="BK39" i="5"/>
  <c r="BM39" i="5"/>
  <c r="CD67" i="5"/>
  <c r="CC67" i="5"/>
  <c r="CE67" i="5" s="1"/>
  <c r="H117" i="7"/>
  <c r="CK127" i="5"/>
  <c r="CL127" i="5" s="1"/>
  <c r="BM127" i="5"/>
  <c r="BK127" i="5"/>
  <c r="H143" i="7"/>
  <c r="CK153" i="5"/>
  <c r="CL153" i="5" s="1"/>
  <c r="BK153" i="5"/>
  <c r="BM153" i="5"/>
  <c r="H35" i="7"/>
  <c r="CK45" i="5"/>
  <c r="CL45" i="5" s="1"/>
  <c r="BK45" i="5"/>
  <c r="BM45" i="5"/>
  <c r="BJ64" i="5"/>
  <c r="BE64" i="5"/>
  <c r="H8" i="7"/>
  <c r="CK18" i="5"/>
  <c r="CL18" i="5" s="1"/>
  <c r="BK18" i="5"/>
  <c r="BM18" i="5"/>
  <c r="CC44" i="5"/>
  <c r="CE44" i="5" s="1"/>
  <c r="CD44" i="5"/>
  <c r="H132" i="7"/>
  <c r="CK142" i="5"/>
  <c r="CL142" i="5" s="1"/>
  <c r="BK142" i="5"/>
  <c r="BM142" i="5"/>
  <c r="BJ54" i="5"/>
  <c r="BE54" i="5"/>
  <c r="H12" i="7"/>
  <c r="CK22" i="5"/>
  <c r="CL22" i="5" s="1"/>
  <c r="BK22" i="5"/>
  <c r="BM22" i="5"/>
  <c r="BJ85" i="5"/>
  <c r="BE85" i="5"/>
  <c r="H33" i="7"/>
  <c r="CK43" i="5"/>
  <c r="CL43" i="5" s="1"/>
  <c r="BK43" i="5"/>
  <c r="BM43" i="5"/>
  <c r="BJ98" i="5"/>
  <c r="BE98" i="5"/>
  <c r="H54" i="1"/>
  <c r="BJ51" i="5"/>
  <c r="BE51" i="5"/>
  <c r="CC135" i="5"/>
  <c r="CE135" i="5" s="1"/>
  <c r="CD135" i="5"/>
  <c r="CD91" i="5"/>
  <c r="CC91" i="5"/>
  <c r="CE91" i="5" s="1"/>
  <c r="H121" i="7"/>
  <c r="CK131" i="5"/>
  <c r="CL131" i="5" s="1"/>
  <c r="BK131" i="5"/>
  <c r="BM131" i="5"/>
  <c r="BJ96" i="5"/>
  <c r="BE96" i="5"/>
  <c r="BB5" i="5"/>
  <c r="BJ78" i="5"/>
  <c r="BE78" i="5"/>
  <c r="H130" i="7"/>
  <c r="CK140" i="5"/>
  <c r="CL140" i="5" s="1"/>
  <c r="BK140" i="5"/>
  <c r="BM140" i="5"/>
  <c r="CD47" i="5"/>
  <c r="CC47" i="5"/>
  <c r="CE47" i="5" s="1"/>
  <c r="H151" i="7"/>
  <c r="CK161" i="5"/>
  <c r="CL161" i="5" s="1"/>
  <c r="BK161" i="5"/>
  <c r="BM161" i="5"/>
  <c r="H80" i="7"/>
  <c r="CK90" i="5"/>
  <c r="CL90" i="5" s="1"/>
  <c r="BM90" i="5"/>
  <c r="BK90" i="5"/>
  <c r="H30" i="7"/>
  <c r="CK40" i="5"/>
  <c r="CL40" i="5" s="1"/>
  <c r="BK40" i="5"/>
  <c r="BM40" i="5"/>
  <c r="H154" i="7"/>
  <c r="CK164" i="5"/>
  <c r="CL164" i="5" s="1"/>
  <c r="BK164" i="5"/>
  <c r="BM164" i="5"/>
  <c r="H47" i="7"/>
  <c r="CK57" i="5"/>
  <c r="CL57" i="5" s="1"/>
  <c r="BK57" i="5"/>
  <c r="BM57" i="5"/>
  <c r="H60" i="7"/>
  <c r="CK70" i="5"/>
  <c r="CL70" i="5" s="1"/>
  <c r="BM70" i="5"/>
  <c r="BK70" i="5"/>
  <c r="H40" i="7"/>
  <c r="CK50" i="5"/>
  <c r="CL50" i="5" s="1"/>
  <c r="BK50" i="5"/>
  <c r="BM50" i="5"/>
  <c r="BJ35" i="5"/>
  <c r="BE35" i="5"/>
  <c r="BJ115" i="5"/>
  <c r="BE115" i="5"/>
  <c r="BJ158" i="5"/>
  <c r="BE158" i="5"/>
  <c r="H146" i="7"/>
  <c r="CK156" i="5"/>
  <c r="CL156" i="5" s="1"/>
  <c r="BK156" i="5"/>
  <c r="BM156" i="5"/>
  <c r="BJ118" i="5"/>
  <c r="BE118" i="5"/>
  <c r="BJ101" i="5"/>
  <c r="BE101" i="5"/>
  <c r="H137" i="7"/>
  <c r="CK147" i="5"/>
  <c r="CL147" i="5" s="1"/>
  <c r="BM147" i="5"/>
  <c r="BK147" i="5"/>
  <c r="CD87" i="5"/>
  <c r="CC87" i="5"/>
  <c r="CE87" i="5" s="1"/>
  <c r="H152" i="7"/>
  <c r="CK162" i="5"/>
  <c r="CL162" i="5" s="1"/>
  <c r="BK162" i="5"/>
  <c r="BM162" i="5"/>
  <c r="H93" i="7"/>
  <c r="CK103" i="5"/>
  <c r="CL103" i="5" s="1"/>
  <c r="BK103" i="5"/>
  <c r="BM103" i="5"/>
  <c r="H125" i="7"/>
  <c r="CK135" i="5"/>
  <c r="CL135" i="5" s="1"/>
  <c r="BK135" i="5"/>
  <c r="BM135" i="5"/>
  <c r="H124" i="7"/>
  <c r="CK134" i="5"/>
  <c r="CL134" i="5" s="1"/>
  <c r="BK134" i="5"/>
  <c r="BM134" i="5"/>
  <c r="H81" i="7"/>
  <c r="CK91" i="5"/>
  <c r="CL91" i="5" s="1"/>
  <c r="BK91" i="5"/>
  <c r="BM91" i="5"/>
  <c r="H37" i="7"/>
  <c r="CK47" i="5"/>
  <c r="CL47" i="5" s="1"/>
  <c r="BM47" i="5"/>
  <c r="BK47" i="5"/>
  <c r="H139" i="7"/>
  <c r="CK149" i="5"/>
  <c r="CL149" i="5" s="1"/>
  <c r="BK149" i="5"/>
  <c r="BM149" i="5"/>
  <c r="H92" i="7"/>
  <c r="CK102" i="5"/>
  <c r="CL102" i="5" s="1"/>
  <c r="BK102" i="5"/>
  <c r="BM102" i="5"/>
  <c r="H57" i="7"/>
  <c r="CK67" i="5"/>
  <c r="CL67" i="5" s="1"/>
  <c r="BK67" i="5"/>
  <c r="BM67" i="5"/>
  <c r="BJ26" i="5"/>
  <c r="BE26" i="5"/>
  <c r="BJ104" i="5"/>
  <c r="BE104" i="5"/>
  <c r="H34" i="7"/>
  <c r="CK44" i="5"/>
  <c r="CL44" i="5" s="1"/>
  <c r="BK44" i="5"/>
  <c r="BM44" i="5"/>
  <c r="H144" i="7"/>
  <c r="CK154" i="5"/>
  <c r="CL154" i="5" s="1"/>
  <c r="BK154" i="5"/>
  <c r="BM154" i="5"/>
  <c r="H11" i="7"/>
  <c r="CK21" i="5"/>
  <c r="CL21" i="5" s="1"/>
  <c r="BK21" i="5"/>
  <c r="BM21" i="5"/>
  <c r="CC52" i="5"/>
  <c r="CE52" i="5" s="1"/>
  <c r="CD52" i="5"/>
  <c r="BJ114" i="5"/>
  <c r="BE114" i="5"/>
  <c r="H36" i="7"/>
  <c r="CK46" i="5"/>
  <c r="CL46" i="5" s="1"/>
  <c r="BK46" i="5"/>
  <c r="BM46" i="5"/>
  <c r="H110" i="7"/>
  <c r="CK120" i="5"/>
  <c r="CL120" i="5" s="1"/>
  <c r="BK120" i="5"/>
  <c r="BM120" i="5"/>
  <c r="H45" i="7"/>
  <c r="CK55" i="5"/>
  <c r="CL55" i="5" s="1"/>
  <c r="BK55" i="5"/>
  <c r="BM55" i="5"/>
  <c r="H31" i="7"/>
  <c r="CK41" i="5"/>
  <c r="CL41" i="5" s="1"/>
  <c r="BK41" i="5"/>
  <c r="BM41" i="5"/>
  <c r="BJ62" i="5"/>
  <c r="BE62" i="5"/>
  <c r="H61" i="7"/>
  <c r="CK71" i="5"/>
  <c r="CL71" i="5" s="1"/>
  <c r="BK71" i="5"/>
  <c r="BM71" i="5"/>
  <c r="CD159" i="5"/>
  <c r="CC159" i="5"/>
  <c r="CE159" i="5" s="1"/>
  <c r="H18" i="7"/>
  <c r="CK28" i="5"/>
  <c r="CL28" i="5" s="1"/>
  <c r="BK28" i="5"/>
  <c r="BM28" i="5"/>
  <c r="H115" i="7"/>
  <c r="CK125" i="5"/>
  <c r="CL125" i="5" s="1"/>
  <c r="BK125" i="5"/>
  <c r="BM125" i="5"/>
  <c r="H126" i="7"/>
  <c r="CK136" i="5"/>
  <c r="CL136" i="5" s="1"/>
  <c r="BK136" i="5"/>
  <c r="BM136" i="5"/>
  <c r="H145" i="7"/>
  <c r="CK155" i="5"/>
  <c r="CL155" i="5" s="1"/>
  <c r="BK155" i="5"/>
  <c r="BM155" i="5"/>
  <c r="BJ36" i="5"/>
  <c r="BE36" i="5"/>
  <c r="H107" i="7"/>
  <c r="CK117" i="5"/>
  <c r="CL117" i="5" s="1"/>
  <c r="BK117" i="5"/>
  <c r="BM117" i="5"/>
  <c r="H53" i="7"/>
  <c r="CK63" i="5"/>
  <c r="CL63" i="5" s="1"/>
  <c r="BK63" i="5"/>
  <c r="BM63" i="5"/>
  <c r="H153" i="7"/>
  <c r="CK163" i="5"/>
  <c r="CL163" i="5" s="1"/>
  <c r="BK163" i="5"/>
  <c r="BM163" i="5"/>
  <c r="BJ65" i="5"/>
  <c r="BE65" i="5"/>
  <c r="H38" i="7"/>
  <c r="CK48" i="5"/>
  <c r="CL48" i="5" s="1"/>
  <c r="BK48" i="5"/>
  <c r="BM48" i="5"/>
  <c r="H49" i="7"/>
  <c r="CK59" i="5"/>
  <c r="CL59" i="5" s="1"/>
  <c r="BM59" i="5"/>
  <c r="BK59" i="5"/>
  <c r="H134" i="7"/>
  <c r="CK144" i="5"/>
  <c r="CL144" i="5" s="1"/>
  <c r="BK144" i="5"/>
  <c r="BM144" i="5"/>
  <c r="H147" i="7"/>
  <c r="CK157" i="5"/>
  <c r="CL157" i="5" s="1"/>
  <c r="BK157" i="5"/>
  <c r="BM157" i="5"/>
  <c r="H82" i="7"/>
  <c r="CK92" i="5"/>
  <c r="CL92" i="5" s="1"/>
  <c r="BM92" i="5"/>
  <c r="BK92" i="5"/>
  <c r="CC53" i="5"/>
  <c r="CE53" i="5" s="1"/>
  <c r="CD53" i="5"/>
  <c r="H42" i="7"/>
  <c r="CK52" i="5"/>
  <c r="CL52" i="5" s="1"/>
  <c r="BK52" i="5"/>
  <c r="BM52" i="5"/>
  <c r="CC86" i="5"/>
  <c r="CE86" i="5" s="1"/>
  <c r="CD86" i="5"/>
  <c r="H7" i="7"/>
  <c r="CK17" i="5"/>
  <c r="CL17" i="5" s="1"/>
  <c r="BK17" i="5"/>
  <c r="BM17" i="5"/>
  <c r="M30" i="3"/>
  <c r="M33" i="3"/>
  <c r="M35" i="3" s="1"/>
  <c r="H77" i="7"/>
  <c r="CK87" i="5"/>
  <c r="CL87" i="5" s="1"/>
  <c r="BM87" i="5"/>
  <c r="BK87" i="5"/>
  <c r="BJ100" i="5"/>
  <c r="BE100" i="5"/>
  <c r="BJ83" i="5"/>
  <c r="BE83" i="5"/>
  <c r="H149" i="7"/>
  <c r="CK159" i="5"/>
  <c r="CL159" i="5" s="1"/>
  <c r="BK159" i="5"/>
  <c r="BM159" i="5"/>
  <c r="BJ16" i="5"/>
  <c r="AZ7" i="5"/>
  <c r="BE16" i="5"/>
  <c r="H120" i="7"/>
  <c r="CK130" i="5"/>
  <c r="CL130" i="5" s="1"/>
  <c r="BK130" i="5"/>
  <c r="BM130" i="5"/>
  <c r="H39" i="7"/>
  <c r="CK49" i="5"/>
  <c r="CL49" i="5" s="1"/>
  <c r="BM49" i="5"/>
  <c r="BK49" i="5"/>
  <c r="H48" i="7"/>
  <c r="CK58" i="5"/>
  <c r="CL58" i="5" s="1"/>
  <c r="BK58" i="5"/>
  <c r="BM58" i="5"/>
  <c r="H85" i="7"/>
  <c r="CK95" i="5"/>
  <c r="CL95" i="5" s="1"/>
  <c r="BK95" i="5"/>
  <c r="BM95" i="5"/>
  <c r="H32" i="7"/>
  <c r="CK42" i="5"/>
  <c r="CL42" i="5" s="1"/>
  <c r="BK42" i="5"/>
  <c r="BM42" i="5"/>
  <c r="CC138" i="5"/>
  <c r="CE138" i="5" s="1"/>
  <c r="CD138" i="5"/>
  <c r="H76" i="7"/>
  <c r="CK86" i="5"/>
  <c r="CL86" i="5" s="1"/>
  <c r="BK86" i="5"/>
  <c r="BM86" i="5"/>
  <c r="H140" i="7"/>
  <c r="CK150" i="5"/>
  <c r="CL150" i="5" s="1"/>
  <c r="BK150" i="5"/>
  <c r="BM150" i="5"/>
  <c r="H127" i="7"/>
  <c r="CK137" i="5"/>
  <c r="CL137" i="5" s="1"/>
  <c r="BM137" i="5"/>
  <c r="BK137" i="5"/>
  <c r="H99" i="7"/>
  <c r="CK109" i="5"/>
  <c r="CL109" i="5" s="1"/>
  <c r="BK109" i="5"/>
  <c r="BM109" i="5"/>
  <c r="H138" i="7"/>
  <c r="CK148" i="5"/>
  <c r="CL148" i="5" s="1"/>
  <c r="BK148" i="5"/>
  <c r="BM148" i="5"/>
  <c r="H17" i="7"/>
  <c r="CK27" i="5"/>
  <c r="CL27" i="5" s="1"/>
  <c r="BK27" i="5"/>
  <c r="BM27" i="5"/>
  <c r="H111" i="7"/>
  <c r="CK121" i="5"/>
  <c r="CL121" i="5" s="1"/>
  <c r="BM121" i="5"/>
  <c r="BK121" i="5"/>
  <c r="AZ8" i="5" l="1"/>
  <c r="BB8" i="5"/>
  <c r="BC94" i="5"/>
  <c r="BD94" i="5" s="1"/>
  <c r="BC64" i="5"/>
  <c r="BD64" i="5" s="1"/>
  <c r="BF64" i="5" s="1"/>
  <c r="BC57" i="5"/>
  <c r="BD57" i="5" s="1"/>
  <c r="BC69" i="5"/>
  <c r="BD69" i="5" s="1"/>
  <c r="BC39" i="5"/>
  <c r="BD39" i="5" s="1"/>
  <c r="BC159" i="5"/>
  <c r="BD159" i="5" s="1"/>
  <c r="BF159" i="5" s="1"/>
  <c r="BC35" i="5"/>
  <c r="BD35" i="5" s="1"/>
  <c r="BF35" i="5" s="1"/>
  <c r="BC134" i="5"/>
  <c r="BD134" i="5" s="1"/>
  <c r="BF134" i="5" s="1"/>
  <c r="BC127" i="5"/>
  <c r="BD127" i="5" s="1"/>
  <c r="BC101" i="5"/>
  <c r="BD101" i="5" s="1"/>
  <c r="BF101" i="5" s="1"/>
  <c r="BC158" i="5"/>
  <c r="BD158" i="5" s="1"/>
  <c r="BF158" i="5" s="1"/>
  <c r="BC124" i="5"/>
  <c r="BD124" i="5" s="1"/>
  <c r="BC91" i="5"/>
  <c r="BD91" i="5" s="1"/>
  <c r="BC55" i="5"/>
  <c r="BD55" i="5" s="1"/>
  <c r="BF55" i="5" s="1"/>
  <c r="BC31" i="5"/>
  <c r="BD31" i="5" s="1"/>
  <c r="BC152" i="5"/>
  <c r="BD152" i="5" s="1"/>
  <c r="BF152" i="5" s="1"/>
  <c r="BC120" i="5"/>
  <c r="BD120" i="5" s="1"/>
  <c r="BC85" i="5"/>
  <c r="BD85" i="5" s="1"/>
  <c r="BC50" i="5"/>
  <c r="BD50" i="5" s="1"/>
  <c r="BC17" i="5"/>
  <c r="BD17" i="5" s="1"/>
  <c r="BC150" i="5"/>
  <c r="BD150" i="5" s="1"/>
  <c r="BC117" i="5"/>
  <c r="BD117" i="5" s="1"/>
  <c r="BF117" i="5" s="1"/>
  <c r="BC83" i="5"/>
  <c r="BD83" i="5" s="1"/>
  <c r="BC49" i="5"/>
  <c r="BD49" i="5" s="1"/>
  <c r="BF49" i="5" s="1"/>
  <c r="BC18" i="5"/>
  <c r="BD18" i="5" s="1"/>
  <c r="BC142" i="5"/>
  <c r="BD142" i="5" s="1"/>
  <c r="BC112" i="5"/>
  <c r="BD112" i="5" s="1"/>
  <c r="BC78" i="5"/>
  <c r="BD78" i="5" s="1"/>
  <c r="BF78" i="5" s="1"/>
  <c r="BC22" i="5"/>
  <c r="BD22" i="5" s="1"/>
  <c r="BC143" i="5"/>
  <c r="BD143" i="5" s="1"/>
  <c r="BF143" i="5" s="1"/>
  <c r="BC109" i="5"/>
  <c r="BD109" i="5" s="1"/>
  <c r="BC75" i="5"/>
  <c r="BD75" i="5" s="1"/>
  <c r="BF75" i="5" s="1"/>
  <c r="BC23" i="5"/>
  <c r="BD23" i="5" s="1"/>
  <c r="BC98" i="5"/>
  <c r="BD98" i="5" s="1"/>
  <c r="BF98" i="5" s="1"/>
  <c r="BC135" i="5"/>
  <c r="BD135" i="5" s="1"/>
  <c r="BC102" i="5"/>
  <c r="BD102" i="5" s="1"/>
  <c r="BC68" i="5"/>
  <c r="BD68" i="5" s="1"/>
  <c r="BC42" i="5"/>
  <c r="BD42" i="5" s="1"/>
  <c r="BF42" i="5" s="1"/>
  <c r="BJ80" i="5"/>
  <c r="BE80" i="5"/>
  <c r="BE8" i="5" s="1"/>
  <c r="H46" i="7"/>
  <c r="CK56" i="5"/>
  <c r="CL56" i="5" s="1"/>
  <c r="BK56" i="5"/>
  <c r="BM56" i="5"/>
  <c r="BC88" i="5"/>
  <c r="BD88" i="5" s="1"/>
  <c r="BC157" i="5"/>
  <c r="BD157" i="5" s="1"/>
  <c r="BF157" i="5" s="1"/>
  <c r="BC149" i="5"/>
  <c r="BD149" i="5" s="1"/>
  <c r="BF149" i="5" s="1"/>
  <c r="BC140" i="5"/>
  <c r="BD140" i="5" s="1"/>
  <c r="BF140" i="5" s="1"/>
  <c r="BC133" i="5"/>
  <c r="BD133" i="5" s="1"/>
  <c r="BC125" i="5"/>
  <c r="BD125" i="5" s="1"/>
  <c r="BC119" i="5"/>
  <c r="BD119" i="5" s="1"/>
  <c r="BF119" i="5" s="1"/>
  <c r="BC108" i="5"/>
  <c r="BD108" i="5" s="1"/>
  <c r="BC99" i="5"/>
  <c r="BD99" i="5" s="1"/>
  <c r="BF99" i="5" s="1"/>
  <c r="BC92" i="5"/>
  <c r="BD92" i="5" s="1"/>
  <c r="BF92" i="5" s="1"/>
  <c r="BC82" i="5"/>
  <c r="BD82" i="5" s="1"/>
  <c r="BF82" i="5" s="1"/>
  <c r="BC74" i="5"/>
  <c r="BD74" i="5" s="1"/>
  <c r="BF74" i="5" s="1"/>
  <c r="BC63" i="5"/>
  <c r="BD63" i="5" s="1"/>
  <c r="BC56" i="5"/>
  <c r="BD56" i="5" s="1"/>
  <c r="BC46" i="5"/>
  <c r="BD46" i="5" s="1"/>
  <c r="BC43" i="5"/>
  <c r="BD43" i="5" s="1"/>
  <c r="BC16" i="5"/>
  <c r="BC37" i="5"/>
  <c r="BD37" i="5" s="1"/>
  <c r="BF37" i="5" s="1"/>
  <c r="BC44" i="5"/>
  <c r="BD44" i="5" s="1"/>
  <c r="BF44" i="5" s="1"/>
  <c r="BJ108" i="5"/>
  <c r="BE108" i="5"/>
  <c r="H133" i="7"/>
  <c r="CK143" i="5"/>
  <c r="CL143" i="5" s="1"/>
  <c r="BM143" i="5"/>
  <c r="BK143" i="5"/>
  <c r="BC162" i="5"/>
  <c r="BD162" i="5" s="1"/>
  <c r="BF162" i="5" s="1"/>
  <c r="BC156" i="5"/>
  <c r="BD156" i="5" s="1"/>
  <c r="BF156" i="5" s="1"/>
  <c r="BC148" i="5"/>
  <c r="BD148" i="5" s="1"/>
  <c r="BF148" i="5" s="1"/>
  <c r="BC139" i="5"/>
  <c r="BD139" i="5" s="1"/>
  <c r="BC131" i="5"/>
  <c r="BD131" i="5" s="1"/>
  <c r="BC126" i="5"/>
  <c r="BD126" i="5" s="1"/>
  <c r="BF126" i="5" s="1"/>
  <c r="BC116" i="5"/>
  <c r="BD116" i="5" s="1"/>
  <c r="BC107" i="5"/>
  <c r="BD107" i="5" s="1"/>
  <c r="BF107" i="5" s="1"/>
  <c r="BC100" i="5"/>
  <c r="BD100" i="5" s="1"/>
  <c r="BF100" i="5" s="1"/>
  <c r="BC90" i="5"/>
  <c r="BD90" i="5" s="1"/>
  <c r="BF90" i="5" s="1"/>
  <c r="BC81" i="5"/>
  <c r="BD81" i="5" s="1"/>
  <c r="BF81" i="5" s="1"/>
  <c r="BC73" i="5"/>
  <c r="BD73" i="5" s="1"/>
  <c r="BF73" i="5" s="1"/>
  <c r="BC65" i="5"/>
  <c r="BD65" i="5" s="1"/>
  <c r="BF65" i="5" s="1"/>
  <c r="BC58" i="5"/>
  <c r="BD58" i="5" s="1"/>
  <c r="BF58" i="5" s="1"/>
  <c r="BC48" i="5"/>
  <c r="BD48" i="5" s="1"/>
  <c r="BC36" i="5"/>
  <c r="BD36" i="5" s="1"/>
  <c r="BF36" i="5" s="1"/>
  <c r="BC19" i="5"/>
  <c r="BD19" i="5" s="1"/>
  <c r="BF19" i="5" s="1"/>
  <c r="BC40" i="5"/>
  <c r="BD40" i="5" s="1"/>
  <c r="BF40" i="5" s="1"/>
  <c r="BJ132" i="5"/>
  <c r="BE132" i="5"/>
  <c r="BM82" i="5"/>
  <c r="H72" i="7"/>
  <c r="CK82" i="5"/>
  <c r="CL82" i="5" s="1"/>
  <c r="BK82" i="5"/>
  <c r="BC164" i="5"/>
  <c r="BD164" i="5" s="1"/>
  <c r="BF164" i="5" s="1"/>
  <c r="BC155" i="5"/>
  <c r="BD155" i="5" s="1"/>
  <c r="BF155" i="5" s="1"/>
  <c r="BC145" i="5"/>
  <c r="BD145" i="5" s="1"/>
  <c r="BF145" i="5" s="1"/>
  <c r="BC141" i="5"/>
  <c r="BD141" i="5" s="1"/>
  <c r="BC132" i="5"/>
  <c r="BD132" i="5" s="1"/>
  <c r="BC122" i="5"/>
  <c r="BD122" i="5" s="1"/>
  <c r="BF122" i="5" s="1"/>
  <c r="BC114" i="5"/>
  <c r="BD114" i="5" s="1"/>
  <c r="BF114" i="5" s="1"/>
  <c r="BC104" i="5"/>
  <c r="BD104" i="5" s="1"/>
  <c r="BF104" i="5" s="1"/>
  <c r="BC96" i="5"/>
  <c r="BD96" i="5" s="1"/>
  <c r="BF96" i="5" s="1"/>
  <c r="BC89" i="5"/>
  <c r="BD89" i="5" s="1"/>
  <c r="BF89" i="5" s="1"/>
  <c r="BC79" i="5"/>
  <c r="BD79" i="5" s="1"/>
  <c r="BF79" i="5" s="1"/>
  <c r="BC71" i="5"/>
  <c r="BD71" i="5" s="1"/>
  <c r="BC61" i="5"/>
  <c r="BD61" i="5" s="1"/>
  <c r="BF61" i="5" s="1"/>
  <c r="BC54" i="5"/>
  <c r="BD54" i="5" s="1"/>
  <c r="BF54" i="5" s="1"/>
  <c r="BC45" i="5"/>
  <c r="BD45" i="5" s="1"/>
  <c r="BC29" i="5"/>
  <c r="BD29" i="5" s="1"/>
  <c r="M51" i="1" s="1"/>
  <c r="BC32" i="5"/>
  <c r="BD32" i="5" s="1"/>
  <c r="M54" i="1" s="1"/>
  <c r="BC41" i="5"/>
  <c r="BD41" i="5" s="1"/>
  <c r="BF41" i="5" s="1"/>
  <c r="BC161" i="5"/>
  <c r="BD161" i="5" s="1"/>
  <c r="BF161" i="5" s="1"/>
  <c r="BC153" i="5"/>
  <c r="BD153" i="5" s="1"/>
  <c r="BC144" i="5"/>
  <c r="BD144" i="5" s="1"/>
  <c r="BC136" i="5"/>
  <c r="BD136" i="5" s="1"/>
  <c r="BC129" i="5"/>
  <c r="BD129" i="5" s="1"/>
  <c r="BC123" i="5"/>
  <c r="BD123" i="5" s="1"/>
  <c r="BF123" i="5" s="1"/>
  <c r="BC113" i="5"/>
  <c r="BD113" i="5" s="1"/>
  <c r="BF113" i="5" s="1"/>
  <c r="BC106" i="5"/>
  <c r="BD106" i="5" s="1"/>
  <c r="BC97" i="5"/>
  <c r="BD97" i="5" s="1"/>
  <c r="BC86" i="5"/>
  <c r="BD86" i="5" s="1"/>
  <c r="BC80" i="5"/>
  <c r="BD80" i="5" s="1"/>
  <c r="BC70" i="5"/>
  <c r="BD70" i="5" s="1"/>
  <c r="BC60" i="5"/>
  <c r="BD60" i="5" s="1"/>
  <c r="BC52" i="5"/>
  <c r="BD52" i="5" s="1"/>
  <c r="BF52" i="5" s="1"/>
  <c r="BC47" i="5"/>
  <c r="BD47" i="5" s="1"/>
  <c r="BF47" i="5" s="1"/>
  <c r="BC28" i="5"/>
  <c r="BD28" i="5" s="1"/>
  <c r="M50" i="1" s="1"/>
  <c r="BC33" i="5"/>
  <c r="BD33" i="5" s="1"/>
  <c r="M55" i="1" s="1"/>
  <c r="BC38" i="5"/>
  <c r="BD38" i="5" s="1"/>
  <c r="H113" i="7"/>
  <c r="CK123" i="5"/>
  <c r="CL123" i="5" s="1"/>
  <c r="BK123" i="5"/>
  <c r="BM123" i="5"/>
  <c r="H28" i="7"/>
  <c r="CK38" i="5"/>
  <c r="CL38" i="5" s="1"/>
  <c r="BK38" i="5"/>
  <c r="BM38" i="5"/>
  <c r="H56" i="7"/>
  <c r="CK66" i="5"/>
  <c r="CL66" i="5" s="1"/>
  <c r="BK66" i="5"/>
  <c r="BM66" i="5"/>
  <c r="BC72" i="5"/>
  <c r="BD72" i="5" s="1"/>
  <c r="D19" i="2" s="1"/>
  <c r="BC163" i="5"/>
  <c r="BD163" i="5" s="1"/>
  <c r="BF163" i="5" s="1"/>
  <c r="BC154" i="5"/>
  <c r="BD154" i="5" s="1"/>
  <c r="BF154" i="5" s="1"/>
  <c r="BC147" i="5"/>
  <c r="BD147" i="5" s="1"/>
  <c r="BC138" i="5"/>
  <c r="BD138" i="5" s="1"/>
  <c r="BC128" i="5"/>
  <c r="BD128" i="5" s="1"/>
  <c r="BC121" i="5"/>
  <c r="BD121" i="5" s="1"/>
  <c r="BC111" i="5"/>
  <c r="BD111" i="5" s="1"/>
  <c r="BF111" i="5" s="1"/>
  <c r="BC105" i="5"/>
  <c r="BD105" i="5" s="1"/>
  <c r="BF105" i="5" s="1"/>
  <c r="BC93" i="5"/>
  <c r="BD93" i="5" s="1"/>
  <c r="BF93" i="5" s="1"/>
  <c r="BC87" i="5"/>
  <c r="BD87" i="5" s="1"/>
  <c r="BF87" i="5" s="1"/>
  <c r="BC77" i="5"/>
  <c r="BD77" i="5" s="1"/>
  <c r="BC67" i="5"/>
  <c r="BD67" i="5" s="1"/>
  <c r="BC62" i="5"/>
  <c r="BD62" i="5" s="1"/>
  <c r="BC51" i="5"/>
  <c r="BD51" i="5" s="1"/>
  <c r="BF51" i="5" s="1"/>
  <c r="BC25" i="5"/>
  <c r="BD25" i="5" s="1"/>
  <c r="M47" i="1" s="1"/>
  <c r="BC26" i="5"/>
  <c r="BD26" i="5" s="1"/>
  <c r="BF26" i="5" s="1"/>
  <c r="BC34" i="5"/>
  <c r="BD34" i="5" s="1"/>
  <c r="BF34" i="5" s="1"/>
  <c r="BC20" i="5"/>
  <c r="BD20" i="5" s="1"/>
  <c r="BF20" i="5" s="1"/>
  <c r="BK68" i="5"/>
  <c r="BM68" i="5"/>
  <c r="H58" i="7"/>
  <c r="CK68" i="5"/>
  <c r="CL68" i="5" s="1"/>
  <c r="BK151" i="5"/>
  <c r="BM151" i="5"/>
  <c r="H141" i="7"/>
  <c r="CK151" i="5"/>
  <c r="CL151" i="5" s="1"/>
  <c r="H13" i="7"/>
  <c r="CK23" i="5"/>
  <c r="CL23" i="5" s="1"/>
  <c r="BK23" i="5"/>
  <c r="BM23" i="5"/>
  <c r="BC115" i="5"/>
  <c r="BD115" i="5" s="1"/>
  <c r="BF115" i="5" s="1"/>
  <c r="BC160" i="5"/>
  <c r="BD160" i="5" s="1"/>
  <c r="BF160" i="5" s="1"/>
  <c r="BC151" i="5"/>
  <c r="BD151" i="5" s="1"/>
  <c r="BF151" i="5" s="1"/>
  <c r="BC146" i="5"/>
  <c r="BD146" i="5" s="1"/>
  <c r="BF146" i="5" s="1"/>
  <c r="BC137" i="5"/>
  <c r="BD137" i="5" s="1"/>
  <c r="BC130" i="5"/>
  <c r="BD130" i="5" s="1"/>
  <c r="BC118" i="5"/>
  <c r="BD118" i="5" s="1"/>
  <c r="BF118" i="5" s="1"/>
  <c r="BC110" i="5"/>
  <c r="BD110" i="5" s="1"/>
  <c r="BC103" i="5"/>
  <c r="BD103" i="5" s="1"/>
  <c r="BF103" i="5" s="1"/>
  <c r="BC95" i="5"/>
  <c r="BD95" i="5" s="1"/>
  <c r="BF95" i="5" s="1"/>
  <c r="BC84" i="5"/>
  <c r="BD84" i="5" s="1"/>
  <c r="BF84" i="5" s="1"/>
  <c r="BC76" i="5"/>
  <c r="BD76" i="5" s="1"/>
  <c r="D35" i="2" s="1"/>
  <c r="BC66" i="5"/>
  <c r="BD66" i="5" s="1"/>
  <c r="BC59" i="5"/>
  <c r="BD59" i="5" s="1"/>
  <c r="BC53" i="5"/>
  <c r="BD53" i="5" s="1"/>
  <c r="BC24" i="5"/>
  <c r="BD24" i="5" s="1"/>
  <c r="BC21" i="5"/>
  <c r="BD21" i="5" s="1"/>
  <c r="M43" i="1" s="1"/>
  <c r="BC27" i="5"/>
  <c r="BD27" i="5" s="1"/>
  <c r="BF27" i="5" s="1"/>
  <c r="CD82" i="5"/>
  <c r="CC82" i="5"/>
  <c r="CE82" i="5" s="1"/>
  <c r="CD151" i="5"/>
  <c r="CC151" i="5"/>
  <c r="CE151" i="5" s="1"/>
  <c r="H21" i="7"/>
  <c r="CK31" i="5"/>
  <c r="CL31" i="5" s="1"/>
  <c r="BK31" i="5"/>
  <c r="BM31" i="5"/>
  <c r="BF83" i="5"/>
  <c r="BF88" i="5"/>
  <c r="H73" i="7"/>
  <c r="CK83" i="5"/>
  <c r="CL83" i="5" s="1"/>
  <c r="BM83" i="5"/>
  <c r="BK83" i="5"/>
  <c r="H26" i="7"/>
  <c r="CK36" i="5"/>
  <c r="CL36" i="5" s="1"/>
  <c r="BK36" i="5"/>
  <c r="BM36" i="5"/>
  <c r="BY85" i="5"/>
  <c r="BX85" i="5"/>
  <c r="H51" i="7"/>
  <c r="CK61" i="5"/>
  <c r="CL61" i="5" s="1"/>
  <c r="BK61" i="5"/>
  <c r="BM61" i="5"/>
  <c r="K55" i="1"/>
  <c r="I55" i="1"/>
  <c r="N55" i="1"/>
  <c r="BX75" i="5"/>
  <c r="BY75" i="5"/>
  <c r="BF125" i="5"/>
  <c r="BF108" i="5"/>
  <c r="BF56" i="5"/>
  <c r="BF43" i="5"/>
  <c r="BD16" i="5"/>
  <c r="BX100" i="5"/>
  <c r="BY100" i="5"/>
  <c r="BX158" i="5"/>
  <c r="BY158" i="5"/>
  <c r="H25" i="7"/>
  <c r="CK35" i="5"/>
  <c r="CL35" i="5" s="1"/>
  <c r="BK35" i="5"/>
  <c r="BM35" i="5"/>
  <c r="H68" i="7"/>
  <c r="CK78" i="5"/>
  <c r="CL78" i="5" s="1"/>
  <c r="BM78" i="5"/>
  <c r="BK78" i="5"/>
  <c r="H88" i="7"/>
  <c r="CK98" i="5"/>
  <c r="CL98" i="5" s="1"/>
  <c r="BK98" i="5"/>
  <c r="BM98" i="5"/>
  <c r="H75" i="7"/>
  <c r="CK85" i="5"/>
  <c r="CL85" i="5" s="1"/>
  <c r="BK85" i="5"/>
  <c r="BM85" i="5"/>
  <c r="BX54" i="5"/>
  <c r="BY54" i="5"/>
  <c r="BY64" i="5"/>
  <c r="BX64" i="5"/>
  <c r="H79" i="7"/>
  <c r="CK89" i="5"/>
  <c r="CL89" i="5" s="1"/>
  <c r="BK89" i="5"/>
  <c r="BM89" i="5"/>
  <c r="BE5" i="5"/>
  <c r="BF139" i="5"/>
  <c r="BF131" i="5"/>
  <c r="BF116" i="5"/>
  <c r="BF48" i="5"/>
  <c r="AZ9" i="5"/>
  <c r="H78" i="7"/>
  <c r="CK88" i="5"/>
  <c r="CL88" i="5" s="1"/>
  <c r="BK88" i="5"/>
  <c r="BM88" i="5"/>
  <c r="BF133" i="5"/>
  <c r="BF63" i="5"/>
  <c r="BF46" i="5"/>
  <c r="BY26" i="5"/>
  <c r="BX26" i="5"/>
  <c r="H108" i="7"/>
  <c r="CK118" i="5"/>
  <c r="CL118" i="5" s="1"/>
  <c r="BK118" i="5"/>
  <c r="BM118" i="5"/>
  <c r="H148" i="7"/>
  <c r="CK158" i="5"/>
  <c r="CL158" i="5" s="1"/>
  <c r="BK158" i="5"/>
  <c r="BM158" i="5"/>
  <c r="BF85" i="5"/>
  <c r="CC8" i="5"/>
  <c r="CE164" i="5"/>
  <c r="H55" i="1"/>
  <c r="H59" i="7"/>
  <c r="CK69" i="5"/>
  <c r="CL69" i="5" s="1"/>
  <c r="BK69" i="5"/>
  <c r="BM69" i="5"/>
  <c r="BJ5" i="5"/>
  <c r="H65" i="7"/>
  <c r="CK75" i="5"/>
  <c r="CL75" i="5" s="1"/>
  <c r="BK75" i="5"/>
  <c r="BM75" i="5"/>
  <c r="BY112" i="5"/>
  <c r="BX112" i="5"/>
  <c r="BY73" i="5"/>
  <c r="BX73" i="5"/>
  <c r="BX84" i="5"/>
  <c r="BY84" i="5"/>
  <c r="BF141" i="5"/>
  <c r="BF132" i="5"/>
  <c r="BF71" i="5"/>
  <c r="BF45" i="5"/>
  <c r="H89" i="7"/>
  <c r="CK99" i="5"/>
  <c r="CL99" i="5" s="1"/>
  <c r="BK99" i="5"/>
  <c r="BM99" i="5"/>
  <c r="H94" i="7"/>
  <c r="CK104" i="5"/>
  <c r="CL104" i="5" s="1"/>
  <c r="BK104" i="5"/>
  <c r="BM104" i="5"/>
  <c r="BX118" i="5"/>
  <c r="BY118" i="5"/>
  <c r="H90" i="7"/>
  <c r="CK100" i="5"/>
  <c r="CL100" i="5" s="1"/>
  <c r="BM100" i="5"/>
  <c r="BK100" i="5"/>
  <c r="BY114" i="5"/>
  <c r="BX114" i="5"/>
  <c r="H41" i="7"/>
  <c r="CK51" i="5"/>
  <c r="CL51" i="5" s="1"/>
  <c r="BK51" i="5"/>
  <c r="BM51" i="5"/>
  <c r="H44" i="7"/>
  <c r="CK54" i="5"/>
  <c r="CL54" i="5" s="1"/>
  <c r="BK54" i="5"/>
  <c r="BM54" i="5"/>
  <c r="H54" i="7"/>
  <c r="CK64" i="5"/>
  <c r="CL64" i="5" s="1"/>
  <c r="BK64" i="5"/>
  <c r="BM64" i="5"/>
  <c r="H62" i="7"/>
  <c r="CK72" i="5"/>
  <c r="CL72" i="5" s="1"/>
  <c r="BK72" i="5"/>
  <c r="BM72" i="5"/>
  <c r="BX110" i="5"/>
  <c r="BY110" i="5"/>
  <c r="G56" i="1"/>
  <c r="F57" i="1"/>
  <c r="BF69" i="5"/>
  <c r="H102" i="7"/>
  <c r="CK112" i="5"/>
  <c r="CL112" i="5" s="1"/>
  <c r="BK112" i="5"/>
  <c r="BM112" i="5"/>
  <c r="H74" i="7"/>
  <c r="CK84" i="5"/>
  <c r="CL84" i="5" s="1"/>
  <c r="BK84" i="5"/>
  <c r="BM84" i="5"/>
  <c r="BF153" i="5"/>
  <c r="BF144" i="5"/>
  <c r="BF136" i="5"/>
  <c r="BF129" i="5"/>
  <c r="BF106" i="5"/>
  <c r="BF97" i="5"/>
  <c r="BF86" i="5"/>
  <c r="BF80" i="5"/>
  <c r="BF70" i="5"/>
  <c r="BF60" i="5"/>
  <c r="BF28" i="5"/>
  <c r="BF38" i="5"/>
  <c r="BX79" i="5"/>
  <c r="BY79" i="5"/>
  <c r="H104" i="7"/>
  <c r="CK114" i="5"/>
  <c r="CL114" i="5" s="1"/>
  <c r="BK114" i="5"/>
  <c r="BM114" i="5"/>
  <c r="H16" i="7"/>
  <c r="CK26" i="5"/>
  <c r="CL26" i="5" s="1"/>
  <c r="BK26" i="5"/>
  <c r="BM26" i="5"/>
  <c r="BB9" i="5"/>
  <c r="BF110" i="5"/>
  <c r="BX81" i="5"/>
  <c r="BY81" i="5"/>
  <c r="BF112" i="5"/>
  <c r="H63" i="7"/>
  <c r="CK73" i="5"/>
  <c r="CL73" i="5" s="1"/>
  <c r="BK73" i="5"/>
  <c r="BM73" i="5"/>
  <c r="BF147" i="5"/>
  <c r="BF138" i="5"/>
  <c r="BF128" i="5"/>
  <c r="BF121" i="5"/>
  <c r="BF77" i="5"/>
  <c r="BF67" i="5"/>
  <c r="H69" i="7"/>
  <c r="CK79" i="5"/>
  <c r="CL79" i="5" s="1"/>
  <c r="BK79" i="5"/>
  <c r="BM79" i="5"/>
  <c r="BE7" i="5"/>
  <c r="CD16" i="5"/>
  <c r="CC16" i="5"/>
  <c r="BY65" i="5"/>
  <c r="BX65" i="5"/>
  <c r="BY62" i="5"/>
  <c r="BX62" i="5"/>
  <c r="BX101" i="5"/>
  <c r="BY101" i="5"/>
  <c r="BY113" i="5"/>
  <c r="BX113" i="5"/>
  <c r="H100" i="7"/>
  <c r="CK110" i="5"/>
  <c r="CL110" i="5" s="1"/>
  <c r="BK110" i="5"/>
  <c r="BM110" i="5"/>
  <c r="H71" i="7"/>
  <c r="CK81" i="5"/>
  <c r="CL81" i="5" s="1"/>
  <c r="BK81" i="5"/>
  <c r="BM81" i="5"/>
  <c r="BF137" i="5"/>
  <c r="BF130" i="5"/>
  <c r="BF66" i="5"/>
  <c r="BF59" i="5"/>
  <c r="BF53" i="5"/>
  <c r="M46" i="1"/>
  <c r="BF24" i="5"/>
  <c r="M52" i="1"/>
  <c r="BF30" i="5"/>
  <c r="H91" i="7"/>
  <c r="CK101" i="5"/>
  <c r="CL101" i="5" s="1"/>
  <c r="BK101" i="5"/>
  <c r="BM101" i="5"/>
  <c r="H105" i="7"/>
  <c r="CK115" i="5"/>
  <c r="CL115" i="5" s="1"/>
  <c r="BK115" i="5"/>
  <c r="BM115" i="5"/>
  <c r="BF142" i="5"/>
  <c r="BF135" i="5"/>
  <c r="BF127" i="5"/>
  <c r="BF120" i="5"/>
  <c r="BF102" i="5"/>
  <c r="BF94" i="5"/>
  <c r="BF68" i="5"/>
  <c r="BF57" i="5"/>
  <c r="BF50" i="5"/>
  <c r="M44" i="1"/>
  <c r="BF22" i="5"/>
  <c r="M39" i="1"/>
  <c r="BF17" i="5"/>
  <c r="H52" i="7"/>
  <c r="CK62" i="5"/>
  <c r="CL62" i="5" s="1"/>
  <c r="BM62" i="5"/>
  <c r="BK62" i="5"/>
  <c r="H6" i="7"/>
  <c r="CK16" i="5"/>
  <c r="CL16" i="5" s="1"/>
  <c r="BK16" i="5"/>
  <c r="BM16" i="5"/>
  <c r="BJ7" i="5"/>
  <c r="H55" i="7"/>
  <c r="CK65" i="5"/>
  <c r="CL65" i="5" s="1"/>
  <c r="BM65" i="5"/>
  <c r="BK65" i="5"/>
  <c r="BX36" i="5"/>
  <c r="BY36" i="5"/>
  <c r="BF62" i="5"/>
  <c r="BY104" i="5"/>
  <c r="BX104" i="5"/>
  <c r="BX35" i="5"/>
  <c r="BY35" i="5"/>
  <c r="BY78" i="5"/>
  <c r="BX78" i="5"/>
  <c r="H86" i="7"/>
  <c r="CK96" i="5"/>
  <c r="CL96" i="5" s="1"/>
  <c r="BK96" i="5"/>
  <c r="BM96" i="5"/>
  <c r="BY61" i="5"/>
  <c r="BX61" i="5"/>
  <c r="H64" i="7"/>
  <c r="CK74" i="5"/>
  <c r="CL74" i="5" s="1"/>
  <c r="BK74" i="5"/>
  <c r="BM74" i="5"/>
  <c r="H103" i="7"/>
  <c r="CK113" i="5"/>
  <c r="CL113" i="5" s="1"/>
  <c r="BK113" i="5"/>
  <c r="BM113" i="5"/>
  <c r="BY89" i="5"/>
  <c r="BX89" i="5"/>
  <c r="BF150" i="5"/>
  <c r="BF124" i="5"/>
  <c r="BF109" i="5"/>
  <c r="BF91" i="5"/>
  <c r="M45" i="1"/>
  <c r="BF23" i="5"/>
  <c r="BF39" i="5"/>
  <c r="BF31" i="5"/>
  <c r="M53" i="1"/>
  <c r="M40" i="1"/>
  <c r="BF18" i="5"/>
  <c r="BF33" i="5" l="1"/>
  <c r="BF25" i="5"/>
  <c r="BF29" i="5"/>
  <c r="D31" i="2"/>
  <c r="M41" i="1"/>
  <c r="BF21" i="5"/>
  <c r="M48" i="1"/>
  <c r="BF72" i="5"/>
  <c r="BF5" i="5" s="1"/>
  <c r="BM7" i="5"/>
  <c r="BJ3" i="5"/>
  <c r="M42" i="1"/>
  <c r="BF76" i="5"/>
  <c r="CD7" i="5"/>
  <c r="CD9" i="5" s="1"/>
  <c r="BJ8" i="5"/>
  <c r="BK7" i="5"/>
  <c r="BD8" i="5"/>
  <c r="BC7" i="5"/>
  <c r="BC5" i="5"/>
  <c r="M49" i="1"/>
  <c r="BF32" i="5"/>
  <c r="D25" i="2"/>
  <c r="BC8" i="5"/>
  <c r="BF8" i="5"/>
  <c r="BY132" i="5"/>
  <c r="BY8" i="5" s="1"/>
  <c r="BY9" i="5" s="1"/>
  <c r="BX132" i="5"/>
  <c r="BD5" i="5"/>
  <c r="H122" i="7"/>
  <c r="CK132" i="5"/>
  <c r="CL132" i="5" s="1"/>
  <c r="BK132" i="5"/>
  <c r="BM132" i="5"/>
  <c r="H98" i="7"/>
  <c r="CK108" i="5"/>
  <c r="CL108" i="5" s="1"/>
  <c r="E10" i="2" s="1"/>
  <c r="BK108" i="5"/>
  <c r="BM108" i="5"/>
  <c r="BY80" i="5"/>
  <c r="BX80" i="5"/>
  <c r="H70" i="7"/>
  <c r="CK80" i="5"/>
  <c r="CL80" i="5" s="1"/>
  <c r="BK80" i="5"/>
  <c r="BM80" i="5"/>
  <c r="CB118" i="5"/>
  <c r="M108" i="7" s="1"/>
  <c r="BZ118" i="5"/>
  <c r="CB158" i="5"/>
  <c r="M148" i="7" s="1"/>
  <c r="BZ158" i="5"/>
  <c r="CA158" i="5" s="1"/>
  <c r="BD7" i="5"/>
  <c r="D36" i="2"/>
  <c r="D26" i="2"/>
  <c r="D30" i="2"/>
  <c r="D21" i="2"/>
  <c r="M38" i="1"/>
  <c r="BF16" i="5"/>
  <c r="BF7" i="5" s="1"/>
  <c r="CB112" i="5"/>
  <c r="M102" i="7" s="1"/>
  <c r="BZ112" i="5"/>
  <c r="CB35" i="5"/>
  <c r="M25" i="7" s="1"/>
  <c r="BZ35" i="5"/>
  <c r="CB113" i="5"/>
  <c r="M103" i="7" s="1"/>
  <c r="BZ113" i="5"/>
  <c r="CB62" i="5"/>
  <c r="M52" i="7" s="1"/>
  <c r="BZ62" i="5"/>
  <c r="CB110" i="5"/>
  <c r="M100" i="7" s="1"/>
  <c r="BZ110" i="5"/>
  <c r="BK5" i="5"/>
  <c r="CB54" i="5"/>
  <c r="M44" i="7" s="1"/>
  <c r="BZ54" i="5"/>
  <c r="CB75" i="5"/>
  <c r="M65" i="7" s="1"/>
  <c r="BZ75" i="5"/>
  <c r="CB85" i="5"/>
  <c r="M75" i="7" s="1"/>
  <c r="BZ85" i="5"/>
  <c r="CA92" i="5" s="1"/>
  <c r="CB101" i="5"/>
  <c r="M91" i="7" s="1"/>
  <c r="BZ101" i="5"/>
  <c r="CB36" i="5"/>
  <c r="M26" i="7" s="1"/>
  <c r="BZ36" i="5"/>
  <c r="CB65" i="5"/>
  <c r="M55" i="7" s="1"/>
  <c r="BZ65" i="5"/>
  <c r="CB114" i="5"/>
  <c r="M104" i="7" s="1"/>
  <c r="BZ114" i="5"/>
  <c r="CB89" i="5"/>
  <c r="M79" i="7" s="1"/>
  <c r="BZ89" i="5"/>
  <c r="BM5" i="5"/>
  <c r="CB61" i="5"/>
  <c r="M51" i="7" s="1"/>
  <c r="BZ61" i="5"/>
  <c r="CA68" i="5" s="1"/>
  <c r="CB78" i="5"/>
  <c r="M68" i="7" s="1"/>
  <c r="BZ78" i="5"/>
  <c r="CB104" i="5"/>
  <c r="M94" i="7" s="1"/>
  <c r="BZ104" i="5"/>
  <c r="CB79" i="5"/>
  <c r="M69" i="7" s="1"/>
  <c r="BZ79" i="5"/>
  <c r="F58" i="1"/>
  <c r="G57" i="1"/>
  <c r="CB84" i="5"/>
  <c r="M74" i="7" s="1"/>
  <c r="BZ84" i="5"/>
  <c r="CB100" i="5"/>
  <c r="M90" i="7" s="1"/>
  <c r="BZ100" i="5"/>
  <c r="CB26" i="5"/>
  <c r="BZ26" i="5"/>
  <c r="BX8" i="5"/>
  <c r="BX9" i="5" s="1"/>
  <c r="CE16" i="5"/>
  <c r="CC7" i="5"/>
  <c r="CC9" i="5" s="1"/>
  <c r="N56" i="1"/>
  <c r="M56" i="1"/>
  <c r="K56" i="1"/>
  <c r="I56" i="1"/>
  <c r="CB73" i="5"/>
  <c r="M63" i="7" s="1"/>
  <c r="BZ73" i="5"/>
  <c r="BE9" i="5"/>
  <c r="CB81" i="5"/>
  <c r="M71" i="7" s="1"/>
  <c r="BZ81" i="5"/>
  <c r="H56" i="1"/>
  <c r="BJ9" i="5"/>
  <c r="CB64" i="5"/>
  <c r="M54" i="7" s="1"/>
  <c r="BZ64" i="5"/>
  <c r="BF9" i="5" l="1"/>
  <c r="BD9" i="5"/>
  <c r="BK8" i="5"/>
  <c r="BK9" i="5" s="1"/>
  <c r="BM8" i="5"/>
  <c r="BM9" i="5" s="1"/>
  <c r="BC9" i="5"/>
  <c r="BZ80" i="5"/>
  <c r="CA87" i="5" s="1"/>
  <c r="CB80" i="5"/>
  <c r="M70" i="7" s="1"/>
  <c r="CB132" i="5"/>
  <c r="M122" i="7" s="1"/>
  <c r="BZ132" i="5"/>
  <c r="CA104" i="5"/>
  <c r="CA111" i="5"/>
  <c r="CA65" i="5"/>
  <c r="CA72" i="5"/>
  <c r="CA101" i="5"/>
  <c r="CA108" i="5"/>
  <c r="CA42" i="5"/>
  <c r="CA35" i="5"/>
  <c r="CA33" i="5"/>
  <c r="CA26" i="5"/>
  <c r="K57" i="1"/>
  <c r="I57" i="1"/>
  <c r="N57" i="1"/>
  <c r="M57" i="1"/>
  <c r="CA54" i="5"/>
  <c r="CA61" i="5"/>
  <c r="CA118" i="5"/>
  <c r="CA125" i="5"/>
  <c r="CA64" i="5"/>
  <c r="CA71" i="5"/>
  <c r="M16" i="7"/>
  <c r="CA78" i="5"/>
  <c r="CA85" i="5"/>
  <c r="CA112" i="5"/>
  <c r="CA119" i="5"/>
  <c r="CA89" i="5"/>
  <c r="CA96" i="5"/>
  <c r="CA73" i="5"/>
  <c r="H57" i="1"/>
  <c r="CA62" i="5"/>
  <c r="CA69" i="5"/>
  <c r="CA81" i="5"/>
  <c r="CA88" i="5"/>
  <c r="CA100" i="5"/>
  <c r="CA107" i="5"/>
  <c r="G58" i="1"/>
  <c r="H58" i="1" s="1"/>
  <c r="F59" i="1"/>
  <c r="CA75" i="5"/>
  <c r="CA82" i="5"/>
  <c r="CA79" i="5"/>
  <c r="CA86" i="5"/>
  <c r="CA114" i="5"/>
  <c r="CA121" i="5"/>
  <c r="CA113" i="5"/>
  <c r="CA120" i="5"/>
  <c r="CE7" i="5"/>
  <c r="CE9" i="5" s="1"/>
  <c r="CA84" i="5"/>
  <c r="CA91" i="5"/>
  <c r="BN44" i="5"/>
  <c r="BO44" i="5" s="1"/>
  <c r="I34" i="7" s="1"/>
  <c r="BN22" i="5"/>
  <c r="BO22" i="5" s="1"/>
  <c r="BN24" i="5"/>
  <c r="BO24" i="5" s="1"/>
  <c r="BN20" i="5"/>
  <c r="BO20" i="5" s="1"/>
  <c r="BN38" i="5"/>
  <c r="BO38" i="5" s="1"/>
  <c r="I28" i="7" s="1"/>
  <c r="BN41" i="5"/>
  <c r="BO41" i="5" s="1"/>
  <c r="I31" i="7" s="1"/>
  <c r="BN40" i="5"/>
  <c r="BO40" i="5" s="1"/>
  <c r="I30" i="7" s="1"/>
  <c r="BN43" i="5"/>
  <c r="BO43" i="5" s="1"/>
  <c r="I33" i="7" s="1"/>
  <c r="BN32" i="5"/>
  <c r="BO32" i="5" s="1"/>
  <c r="BN17" i="5"/>
  <c r="BO17" i="5" s="1"/>
  <c r="BN31" i="5"/>
  <c r="BO31" i="5" s="1"/>
  <c r="BN34" i="5"/>
  <c r="BO34" i="5" s="1"/>
  <c r="BN37" i="5"/>
  <c r="BO37" i="5" s="1"/>
  <c r="I27" i="7" s="1"/>
  <c r="BN42" i="5"/>
  <c r="BO42" i="5" s="1"/>
  <c r="I32" i="7" s="1"/>
  <c r="BN35" i="5"/>
  <c r="BO35" i="5" s="1"/>
  <c r="I25" i="7" s="1"/>
  <c r="BN27" i="5"/>
  <c r="BO27" i="5" s="1"/>
  <c r="BN29" i="5"/>
  <c r="BO29" i="5" s="1"/>
  <c r="BN36" i="5"/>
  <c r="BO36" i="5" s="1"/>
  <c r="I26" i="7" s="1"/>
  <c r="BN21" i="5"/>
  <c r="BO21" i="5" s="1"/>
  <c r="BN26" i="5"/>
  <c r="BN25" i="5"/>
  <c r="BO25" i="5" s="1"/>
  <c r="BN19" i="5"/>
  <c r="BO19" i="5" s="1"/>
  <c r="BN23" i="5"/>
  <c r="BO23" i="5" s="1"/>
  <c r="BN16" i="5"/>
  <c r="BN33" i="5"/>
  <c r="BO33" i="5" s="1"/>
  <c r="BN28" i="5"/>
  <c r="BO28" i="5" s="1"/>
  <c r="BN30" i="5"/>
  <c r="BO30" i="5" s="1"/>
  <c r="BN18" i="5"/>
  <c r="BO18" i="5" s="1"/>
  <c r="BN39" i="5"/>
  <c r="BO39" i="5" s="1"/>
  <c r="I29" i="7" s="1"/>
  <c r="BN45" i="5"/>
  <c r="BO45" i="5" s="1"/>
  <c r="I35" i="7" s="1"/>
  <c r="BN47" i="5"/>
  <c r="BO47" i="5" s="1"/>
  <c r="I37" i="7" s="1"/>
  <c r="BN48" i="5"/>
  <c r="BO48" i="5" s="1"/>
  <c r="I38" i="7" s="1"/>
  <c r="BN46" i="5"/>
  <c r="BO46" i="5" s="1"/>
  <c r="I36" i="7" s="1"/>
  <c r="BN49" i="5"/>
  <c r="BO49" i="5" s="1"/>
  <c r="I39" i="7" s="1"/>
  <c r="BN50" i="5"/>
  <c r="BO50" i="5" s="1"/>
  <c r="I40" i="7" s="1"/>
  <c r="BN53" i="5"/>
  <c r="BO53" i="5" s="1"/>
  <c r="I43" i="7" s="1"/>
  <c r="BN51" i="5"/>
  <c r="BO51" i="5" s="1"/>
  <c r="I41" i="7" s="1"/>
  <c r="BN52" i="5"/>
  <c r="BO52" i="5" s="1"/>
  <c r="I42" i="7" s="1"/>
  <c r="BN54" i="5"/>
  <c r="BO54" i="5" s="1"/>
  <c r="I44" i="7" s="1"/>
  <c r="BN58" i="5"/>
  <c r="BO58" i="5" s="1"/>
  <c r="I48" i="7" s="1"/>
  <c r="BN55" i="5"/>
  <c r="BO55" i="5" s="1"/>
  <c r="I45" i="7" s="1"/>
  <c r="BN56" i="5"/>
  <c r="BO56" i="5" s="1"/>
  <c r="I46" i="7" s="1"/>
  <c r="BN57" i="5"/>
  <c r="BO57" i="5" s="1"/>
  <c r="I47" i="7" s="1"/>
  <c r="BN59" i="5"/>
  <c r="BO59" i="5" s="1"/>
  <c r="I49" i="7" s="1"/>
  <c r="BN60" i="5"/>
  <c r="BO60" i="5" s="1"/>
  <c r="I50" i="7" s="1"/>
  <c r="BN62" i="5"/>
  <c r="BO62" i="5" s="1"/>
  <c r="I52" i="7" s="1"/>
  <c r="BN61" i="5"/>
  <c r="BO61" i="5" s="1"/>
  <c r="I51" i="7" s="1"/>
  <c r="BN65" i="5"/>
  <c r="BO65" i="5" s="1"/>
  <c r="I55" i="7" s="1"/>
  <c r="BN63" i="5"/>
  <c r="BO63" i="5" s="1"/>
  <c r="I53" i="7" s="1"/>
  <c r="BN64" i="5"/>
  <c r="BO64" i="5" s="1"/>
  <c r="I54" i="7" s="1"/>
  <c r="BN66" i="5"/>
  <c r="BO66" i="5" s="1"/>
  <c r="I56" i="7" s="1"/>
  <c r="BN68" i="5"/>
  <c r="BO68" i="5" s="1"/>
  <c r="I58" i="7" s="1"/>
  <c r="BN67" i="5"/>
  <c r="BO67" i="5" s="1"/>
  <c r="I57" i="7" s="1"/>
  <c r="BN70" i="5"/>
  <c r="BO70" i="5" s="1"/>
  <c r="I60" i="7" s="1"/>
  <c r="BN71" i="5"/>
  <c r="BO71" i="5" s="1"/>
  <c r="I61" i="7" s="1"/>
  <c r="BN73" i="5"/>
  <c r="BO73" i="5" s="1"/>
  <c r="I63" i="7" s="1"/>
  <c r="BN74" i="5"/>
  <c r="BO74" i="5" s="1"/>
  <c r="I64" i="7" s="1"/>
  <c r="BN75" i="5"/>
  <c r="BO75" i="5" s="1"/>
  <c r="I65" i="7" s="1"/>
  <c r="BN78" i="5"/>
  <c r="BO78" i="5" s="1"/>
  <c r="I68" i="7" s="1"/>
  <c r="BN76" i="5"/>
  <c r="BO76" i="5" s="1"/>
  <c r="I66" i="7" s="1"/>
  <c r="BN77" i="5"/>
  <c r="BO77" i="5" s="1"/>
  <c r="I67" i="7" s="1"/>
  <c r="BN80" i="5"/>
  <c r="BO80" i="5" s="1"/>
  <c r="I70" i="7" s="1"/>
  <c r="BN79" i="5"/>
  <c r="BO79" i="5" s="1"/>
  <c r="I69" i="7" s="1"/>
  <c r="BN81" i="5"/>
  <c r="BO81" i="5" s="1"/>
  <c r="I71" i="7" s="1"/>
  <c r="BN83" i="5"/>
  <c r="BO83" i="5" s="1"/>
  <c r="I73" i="7" s="1"/>
  <c r="BN82" i="5"/>
  <c r="BO82" i="5" s="1"/>
  <c r="I72" i="7" s="1"/>
  <c r="BN85" i="5"/>
  <c r="BO85" i="5" s="1"/>
  <c r="I75" i="7" s="1"/>
  <c r="BN84" i="5"/>
  <c r="BO84" i="5" s="1"/>
  <c r="I74" i="7" s="1"/>
  <c r="BN87" i="5"/>
  <c r="BO87" i="5" s="1"/>
  <c r="I77" i="7" s="1"/>
  <c r="BN86" i="5"/>
  <c r="BO86" i="5" s="1"/>
  <c r="I76" i="7" s="1"/>
  <c r="BN89" i="5"/>
  <c r="BO89" i="5" s="1"/>
  <c r="I79" i="7" s="1"/>
  <c r="BN92" i="5"/>
  <c r="BO92" i="5" s="1"/>
  <c r="I82" i="7" s="1"/>
  <c r="BN90" i="5"/>
  <c r="BO90" i="5" s="1"/>
  <c r="I80" i="7" s="1"/>
  <c r="BN94" i="5"/>
  <c r="BO94" i="5" s="1"/>
  <c r="I84" i="7" s="1"/>
  <c r="BN91" i="5"/>
  <c r="BO91" i="5" s="1"/>
  <c r="I81" i="7" s="1"/>
  <c r="BN95" i="5"/>
  <c r="BO95" i="5" s="1"/>
  <c r="I85" i="7" s="1"/>
  <c r="BN93" i="5"/>
  <c r="BO93" i="5" s="1"/>
  <c r="I83" i="7" s="1"/>
  <c r="BN97" i="5"/>
  <c r="BO97" i="5" s="1"/>
  <c r="I87" i="7" s="1"/>
  <c r="BN96" i="5"/>
  <c r="BO96" i="5" s="1"/>
  <c r="I86" i="7" s="1"/>
  <c r="BN100" i="5"/>
  <c r="BO100" i="5" s="1"/>
  <c r="I90" i="7" s="1"/>
  <c r="BN99" i="5"/>
  <c r="BO99" i="5" s="1"/>
  <c r="I89" i="7" s="1"/>
  <c r="BN101" i="5"/>
  <c r="BO101" i="5" s="1"/>
  <c r="I91" i="7" s="1"/>
  <c r="BN102" i="5"/>
  <c r="BO102" i="5" s="1"/>
  <c r="I92" i="7" s="1"/>
  <c r="BN105" i="5"/>
  <c r="BO105" i="5" s="1"/>
  <c r="I95" i="7" s="1"/>
  <c r="BN103" i="5"/>
  <c r="BO103" i="5" s="1"/>
  <c r="I93" i="7" s="1"/>
  <c r="BN104" i="5"/>
  <c r="BO104" i="5" s="1"/>
  <c r="I94" i="7" s="1"/>
  <c r="BN106" i="5"/>
  <c r="BO106" i="5" s="1"/>
  <c r="I96" i="7" s="1"/>
  <c r="BN107" i="5"/>
  <c r="BO107" i="5" s="1"/>
  <c r="I97" i="7" s="1"/>
  <c r="BN108" i="5"/>
  <c r="BO108" i="5" s="1"/>
  <c r="I98" i="7" s="1"/>
  <c r="BN109" i="5"/>
  <c r="BO109" i="5" s="1"/>
  <c r="I99" i="7" s="1"/>
  <c r="BN110" i="5"/>
  <c r="BO110" i="5" s="1"/>
  <c r="I100" i="7" s="1"/>
  <c r="BN112" i="5"/>
  <c r="BO112" i="5" s="1"/>
  <c r="I102" i="7" s="1"/>
  <c r="BN111" i="5"/>
  <c r="BO111" i="5" s="1"/>
  <c r="I101" i="7" s="1"/>
  <c r="BN113" i="5"/>
  <c r="BO113" i="5" s="1"/>
  <c r="I103" i="7" s="1"/>
  <c r="BN114" i="5"/>
  <c r="BO114" i="5" s="1"/>
  <c r="I104" i="7" s="1"/>
  <c r="BN116" i="5"/>
  <c r="BO116" i="5" s="1"/>
  <c r="I106" i="7" s="1"/>
  <c r="BN119" i="5"/>
  <c r="BO119" i="5" s="1"/>
  <c r="I109" i="7" s="1"/>
  <c r="BN120" i="5"/>
  <c r="BO120" i="5" s="1"/>
  <c r="I110" i="7" s="1"/>
  <c r="BN117" i="5"/>
  <c r="BO117" i="5" s="1"/>
  <c r="I107" i="7" s="1"/>
  <c r="BN118" i="5"/>
  <c r="BO118" i="5" s="1"/>
  <c r="I108" i="7" s="1"/>
  <c r="BN121" i="5"/>
  <c r="BO121" i="5" s="1"/>
  <c r="I111" i="7" s="1"/>
  <c r="BN123" i="5"/>
  <c r="BO123" i="5" s="1"/>
  <c r="I113" i="7" s="1"/>
  <c r="BN122" i="5"/>
  <c r="BO122" i="5" s="1"/>
  <c r="I112" i="7" s="1"/>
  <c r="BN125" i="5"/>
  <c r="BO125" i="5" s="1"/>
  <c r="I115" i="7" s="1"/>
  <c r="BN126" i="5"/>
  <c r="BO126" i="5" s="1"/>
  <c r="I116" i="7" s="1"/>
  <c r="BN124" i="5"/>
  <c r="BO124" i="5" s="1"/>
  <c r="I114" i="7" s="1"/>
  <c r="BN127" i="5"/>
  <c r="BO127" i="5" s="1"/>
  <c r="I117" i="7" s="1"/>
  <c r="BN130" i="5"/>
  <c r="BO130" i="5" s="1"/>
  <c r="I120" i="7" s="1"/>
  <c r="BN128" i="5"/>
  <c r="BO128" i="5" s="1"/>
  <c r="I118" i="7" s="1"/>
  <c r="BN132" i="5"/>
  <c r="BO132" i="5" s="1"/>
  <c r="I122" i="7" s="1"/>
  <c r="BN129" i="5"/>
  <c r="BO129" i="5" s="1"/>
  <c r="I119" i="7" s="1"/>
  <c r="BN133" i="5"/>
  <c r="BO133" i="5" s="1"/>
  <c r="I123" i="7" s="1"/>
  <c r="BN131" i="5"/>
  <c r="BO131" i="5" s="1"/>
  <c r="I121" i="7" s="1"/>
  <c r="BN134" i="5"/>
  <c r="BO134" i="5" s="1"/>
  <c r="I124" i="7" s="1"/>
  <c r="BN135" i="5"/>
  <c r="BO135" i="5" s="1"/>
  <c r="I125" i="7" s="1"/>
  <c r="BN137" i="5"/>
  <c r="BO137" i="5" s="1"/>
  <c r="I127" i="7" s="1"/>
  <c r="BN138" i="5"/>
  <c r="BO138" i="5" s="1"/>
  <c r="I128" i="7" s="1"/>
  <c r="BN136" i="5"/>
  <c r="BO136" i="5" s="1"/>
  <c r="I126" i="7" s="1"/>
  <c r="BN139" i="5"/>
  <c r="BO139" i="5" s="1"/>
  <c r="I129" i="7" s="1"/>
  <c r="BN141" i="5"/>
  <c r="BO141" i="5" s="1"/>
  <c r="I131" i="7" s="1"/>
  <c r="BN140" i="5"/>
  <c r="BO140" i="5" s="1"/>
  <c r="I130" i="7" s="1"/>
  <c r="BN143" i="5"/>
  <c r="BO143" i="5" s="1"/>
  <c r="I133" i="7" s="1"/>
  <c r="BN142" i="5"/>
  <c r="BO142" i="5" s="1"/>
  <c r="I132" i="7" s="1"/>
  <c r="BN146" i="5"/>
  <c r="BO146" i="5" s="1"/>
  <c r="I136" i="7" s="1"/>
  <c r="BN144" i="5"/>
  <c r="BO144" i="5" s="1"/>
  <c r="I134" i="7" s="1"/>
  <c r="BN147" i="5"/>
  <c r="BO147" i="5" s="1"/>
  <c r="I137" i="7" s="1"/>
  <c r="BN145" i="5"/>
  <c r="BO145" i="5" s="1"/>
  <c r="I135" i="7" s="1"/>
  <c r="BN148" i="5"/>
  <c r="BO148" i="5" s="1"/>
  <c r="I138" i="7" s="1"/>
  <c r="BN149" i="5"/>
  <c r="BO149" i="5" s="1"/>
  <c r="I139" i="7" s="1"/>
  <c r="BN150" i="5"/>
  <c r="BO150" i="5" s="1"/>
  <c r="I140" i="7" s="1"/>
  <c r="BN152" i="5"/>
  <c r="BO152" i="5" s="1"/>
  <c r="I142" i="7" s="1"/>
  <c r="BN151" i="5"/>
  <c r="BO151" i="5" s="1"/>
  <c r="I141" i="7" s="1"/>
  <c r="BN153" i="5"/>
  <c r="BO153" i="5" s="1"/>
  <c r="I143" i="7" s="1"/>
  <c r="BN154" i="5"/>
  <c r="BO154" i="5" s="1"/>
  <c r="I144" i="7" s="1"/>
  <c r="BN155" i="5"/>
  <c r="BO155" i="5" s="1"/>
  <c r="I145" i="7" s="1"/>
  <c r="BN156" i="5"/>
  <c r="BO156" i="5" s="1"/>
  <c r="I146" i="7" s="1"/>
  <c r="BN157" i="5"/>
  <c r="BO157" i="5" s="1"/>
  <c r="I147" i="7" s="1"/>
  <c r="BN158" i="5"/>
  <c r="BO158" i="5" s="1"/>
  <c r="I148" i="7" s="1"/>
  <c r="BN159" i="5"/>
  <c r="BO159" i="5" s="1"/>
  <c r="I149" i="7" s="1"/>
  <c r="BN160" i="5"/>
  <c r="BO160" i="5" s="1"/>
  <c r="I150" i="7" s="1"/>
  <c r="BN163" i="5"/>
  <c r="BO163" i="5" s="1"/>
  <c r="I153" i="7" s="1"/>
  <c r="BN161" i="5"/>
  <c r="BO161" i="5" s="1"/>
  <c r="I151" i="7" s="1"/>
  <c r="BN162" i="5"/>
  <c r="BO162" i="5" s="1"/>
  <c r="I152" i="7" s="1"/>
  <c r="BN164" i="5"/>
  <c r="BO164" i="5" s="1"/>
  <c r="I154" i="7" s="1"/>
  <c r="BN88" i="5"/>
  <c r="BO88" i="5" s="1"/>
  <c r="I78" i="7" s="1"/>
  <c r="BN98" i="5"/>
  <c r="BO98" i="5" s="1"/>
  <c r="I88" i="7" s="1"/>
  <c r="BN69" i="5"/>
  <c r="BN115" i="5"/>
  <c r="BO115" i="5" s="1"/>
  <c r="I105" i="7" s="1"/>
  <c r="BN72" i="5"/>
  <c r="BO72" i="5" s="1"/>
  <c r="I62" i="7" s="1"/>
  <c r="CA43" i="5"/>
  <c r="CA36" i="5"/>
  <c r="CA110" i="5"/>
  <c r="CA117" i="5"/>
  <c r="CA80" i="5" l="1"/>
  <c r="BZ8" i="5"/>
  <c r="BZ9" i="5" s="1"/>
  <c r="CA16" i="5" s="1"/>
  <c r="CB8" i="5"/>
  <c r="CB9" i="5" s="1"/>
  <c r="CA132" i="5"/>
  <c r="E51" i="2" s="1"/>
  <c r="CA139" i="5"/>
  <c r="I9" i="7"/>
  <c r="O41" i="1"/>
  <c r="I15" i="7"/>
  <c r="O47" i="1"/>
  <c r="I8" i="7"/>
  <c r="O40" i="1"/>
  <c r="BN8" i="5"/>
  <c r="BO26" i="5"/>
  <c r="I24" i="7"/>
  <c r="O56" i="1"/>
  <c r="I10" i="7"/>
  <c r="O42" i="1"/>
  <c r="I13" i="7"/>
  <c r="O45" i="1"/>
  <c r="BN5" i="5"/>
  <c r="BO69" i="5"/>
  <c r="I20" i="7"/>
  <c r="O52" i="1"/>
  <c r="I11" i="7"/>
  <c r="O43" i="1"/>
  <c r="I21" i="7"/>
  <c r="O53" i="1"/>
  <c r="I14" i="7"/>
  <c r="O46" i="1"/>
  <c r="I18" i="7"/>
  <c r="O50" i="1"/>
  <c r="I7" i="7"/>
  <c r="O39" i="1"/>
  <c r="I12" i="7"/>
  <c r="O44" i="1"/>
  <c r="E52" i="2"/>
  <c r="CA8" i="5"/>
  <c r="CA20" i="5"/>
  <c r="CA22" i="5"/>
  <c r="I23" i="7"/>
  <c r="O55" i="1"/>
  <c r="I19" i="7"/>
  <c r="O51" i="1"/>
  <c r="I22" i="7"/>
  <c r="O54" i="1"/>
  <c r="F60" i="1"/>
  <c r="G59" i="1"/>
  <c r="H59" i="1" s="1"/>
  <c r="CA5" i="5"/>
  <c r="E49" i="2"/>
  <c r="BN7" i="5"/>
  <c r="BO16" i="5"/>
  <c r="I17" i="7"/>
  <c r="O49" i="1"/>
  <c r="O58" i="1"/>
  <c r="N58" i="1"/>
  <c r="M58" i="1"/>
  <c r="K58" i="1"/>
  <c r="I58" i="1"/>
  <c r="O57" i="1"/>
  <c r="I6" i="7" l="1"/>
  <c r="BO7" i="5"/>
  <c r="O38" i="1"/>
  <c r="G60" i="1"/>
  <c r="H60" i="1" s="1"/>
  <c r="F61" i="1"/>
  <c r="K59" i="1"/>
  <c r="I59" i="1"/>
  <c r="O59" i="1"/>
  <c r="N59" i="1"/>
  <c r="M59" i="1"/>
  <c r="I16" i="7"/>
  <c r="BO8" i="5"/>
  <c r="O48" i="1"/>
  <c r="I59" i="7"/>
  <c r="BO5" i="5"/>
  <c r="E54" i="2"/>
  <c r="BN9" i="5"/>
  <c r="CA7" i="5"/>
  <c r="CA9" i="5" s="1"/>
  <c r="O60" i="1" l="1"/>
  <c r="N60" i="1"/>
  <c r="M60" i="1"/>
  <c r="K60" i="1"/>
  <c r="I60" i="1"/>
  <c r="BO9" i="5"/>
  <c r="I61" i="2"/>
  <c r="CH4" i="5"/>
  <c r="CF37" i="5"/>
  <c r="CF18" i="5"/>
  <c r="CF17" i="5"/>
  <c r="CF26" i="5"/>
  <c r="CF54" i="5"/>
  <c r="CF61" i="5"/>
  <c r="CF71" i="5"/>
  <c r="CF81" i="5"/>
  <c r="CF94" i="5"/>
  <c r="CF101" i="5"/>
  <c r="CF112" i="5"/>
  <c r="CF118" i="5"/>
  <c r="CF126" i="5"/>
  <c r="CF141" i="5"/>
  <c r="CF147" i="5"/>
  <c r="CF157" i="5"/>
  <c r="CF43" i="5"/>
  <c r="CF135" i="5"/>
  <c r="CF67" i="5"/>
  <c r="CF42" i="5"/>
  <c r="CF19" i="5"/>
  <c r="CF33" i="5"/>
  <c r="CF31" i="5"/>
  <c r="CF56" i="5"/>
  <c r="CF65" i="5"/>
  <c r="CF73" i="5"/>
  <c r="CF83" i="5"/>
  <c r="CF93" i="5"/>
  <c r="CF103" i="5"/>
  <c r="CF110" i="5"/>
  <c r="CF119" i="5"/>
  <c r="CF130" i="5"/>
  <c r="CF139" i="5"/>
  <c r="CF148" i="5"/>
  <c r="CF158" i="5"/>
  <c r="CF52" i="5"/>
  <c r="CF86" i="5"/>
  <c r="CF153" i="5"/>
  <c r="CF16" i="5"/>
  <c r="CF21" i="5"/>
  <c r="CF25" i="5"/>
  <c r="CF29" i="5"/>
  <c r="CF45" i="5"/>
  <c r="CF55" i="5"/>
  <c r="CF63" i="5"/>
  <c r="CF74" i="5"/>
  <c r="CF85" i="5"/>
  <c r="CF95" i="5"/>
  <c r="CF106" i="5"/>
  <c r="CF111" i="5"/>
  <c r="CF121" i="5"/>
  <c r="CF129" i="5"/>
  <c r="CF140" i="5"/>
  <c r="CF149" i="5"/>
  <c r="CF160" i="5"/>
  <c r="CF70" i="5"/>
  <c r="CF128" i="5"/>
  <c r="CF131" i="5"/>
  <c r="CF30" i="5"/>
  <c r="CF20" i="5"/>
  <c r="CF41" i="5"/>
  <c r="CF46" i="5"/>
  <c r="CF57" i="5"/>
  <c r="CF64" i="5"/>
  <c r="CF75" i="5"/>
  <c r="CF84" i="5"/>
  <c r="CF96" i="5"/>
  <c r="CF104" i="5"/>
  <c r="CF113" i="5"/>
  <c r="CF120" i="5"/>
  <c r="CF132" i="5"/>
  <c r="CF143" i="5"/>
  <c r="CF150" i="5"/>
  <c r="CF161" i="5"/>
  <c r="CF47" i="5"/>
  <c r="CF77" i="5"/>
  <c r="CF164" i="5"/>
  <c r="CF24" i="5"/>
  <c r="CF23" i="5"/>
  <c r="CF22" i="5"/>
  <c r="CF48" i="5"/>
  <c r="CF58" i="5"/>
  <c r="CF66" i="5"/>
  <c r="CF78" i="5"/>
  <c r="CF89" i="5"/>
  <c r="CF97" i="5"/>
  <c r="CF105" i="5"/>
  <c r="CF114" i="5"/>
  <c r="CF123" i="5"/>
  <c r="CF133" i="5"/>
  <c r="CF142" i="5"/>
  <c r="CF152" i="5"/>
  <c r="CF162" i="5"/>
  <c r="CF44" i="5"/>
  <c r="CF53" i="5"/>
  <c r="CF28" i="5"/>
  <c r="CF38" i="5"/>
  <c r="CF40" i="5"/>
  <c r="CF49" i="5"/>
  <c r="CF59" i="5"/>
  <c r="CF68" i="5"/>
  <c r="CF76" i="5"/>
  <c r="CF88" i="5"/>
  <c r="CF100" i="5"/>
  <c r="CF107" i="5"/>
  <c r="CF115" i="5"/>
  <c r="CF125" i="5"/>
  <c r="CF134" i="5"/>
  <c r="CF144" i="5"/>
  <c r="CF154" i="5"/>
  <c r="CF163" i="5"/>
  <c r="CF87" i="5"/>
  <c r="CF102" i="5"/>
  <c r="CF34" i="5"/>
  <c r="CF39" i="5"/>
  <c r="CF36" i="5"/>
  <c r="CF50" i="5"/>
  <c r="CF60" i="5"/>
  <c r="CF69" i="5"/>
  <c r="CF79" i="5"/>
  <c r="CF90" i="5"/>
  <c r="CF98" i="5"/>
  <c r="CF108" i="5"/>
  <c r="CF116" i="5"/>
  <c r="CF124" i="5"/>
  <c r="CF137" i="5"/>
  <c r="CF146" i="5"/>
  <c r="CF155" i="5"/>
  <c r="CF151" i="5"/>
  <c r="CF91" i="5"/>
  <c r="CF159" i="5"/>
  <c r="CF35" i="5"/>
  <c r="CF27" i="5"/>
  <c r="CF32" i="5"/>
  <c r="CF51" i="5"/>
  <c r="CF62" i="5"/>
  <c r="CF72" i="5"/>
  <c r="CF80" i="5"/>
  <c r="CF92" i="5"/>
  <c r="CF99" i="5"/>
  <c r="CF109" i="5"/>
  <c r="CF117" i="5"/>
  <c r="CF127" i="5"/>
  <c r="CF136" i="5"/>
  <c r="CF145" i="5"/>
  <c r="CF156" i="5"/>
  <c r="CF82" i="5"/>
  <c r="CF122" i="5"/>
  <c r="CF138" i="5"/>
  <c r="F62" i="1"/>
  <c r="G61" i="1"/>
  <c r="K61" i="1" l="1"/>
  <c r="I61" i="1"/>
  <c r="O61" i="1"/>
  <c r="M61" i="1"/>
  <c r="N61" i="1"/>
  <c r="H61" i="1"/>
  <c r="CF5" i="5"/>
  <c r="CF7" i="5"/>
  <c r="H62" i="1"/>
  <c r="G62" i="1"/>
  <c r="F63" i="1"/>
  <c r="CF8" i="5"/>
  <c r="O62" i="1" l="1"/>
  <c r="N62" i="1"/>
  <c r="M62" i="1"/>
  <c r="K62" i="1"/>
  <c r="I62" i="1"/>
  <c r="F64" i="1"/>
  <c r="G63" i="1"/>
  <c r="H63" i="1" s="1"/>
  <c r="CF9" i="5"/>
  <c r="CG163" i="5" l="1"/>
  <c r="CG160" i="5"/>
  <c r="CG155" i="5"/>
  <c r="CG154" i="5"/>
  <c r="CG153" i="5"/>
  <c r="CG152" i="5"/>
  <c r="CG151" i="5"/>
  <c r="CG146" i="5"/>
  <c r="CG164" i="5"/>
  <c r="CG158" i="5"/>
  <c r="CG145" i="5"/>
  <c r="CG144" i="5"/>
  <c r="CG156" i="5"/>
  <c r="CG149" i="5"/>
  <c r="CG148" i="5"/>
  <c r="CG143" i="5"/>
  <c r="CG161" i="5"/>
  <c r="CG136" i="5"/>
  <c r="CG142" i="5"/>
  <c r="CG134" i="5"/>
  <c r="CG133" i="5"/>
  <c r="CG162" i="5"/>
  <c r="CG132" i="5"/>
  <c r="CG124" i="5"/>
  <c r="CG116" i="5"/>
  <c r="CG150" i="5"/>
  <c r="CG131" i="5"/>
  <c r="CG123" i="5"/>
  <c r="CG115" i="5"/>
  <c r="CG141" i="5"/>
  <c r="CG130" i="5"/>
  <c r="CG140" i="5"/>
  <c r="CG139" i="5"/>
  <c r="CG138" i="5"/>
  <c r="CG137" i="5"/>
  <c r="CG159" i="5"/>
  <c r="CG129" i="5"/>
  <c r="CG128" i="5"/>
  <c r="CG127" i="5"/>
  <c r="CG126" i="5"/>
  <c r="CG120" i="5"/>
  <c r="CG117" i="5"/>
  <c r="CG122" i="5"/>
  <c r="CG147" i="5"/>
  <c r="CG118" i="5"/>
  <c r="CG112" i="5"/>
  <c r="CG121" i="5"/>
  <c r="CG114" i="5"/>
  <c r="CG110" i="5"/>
  <c r="CG157" i="5"/>
  <c r="CG111" i="5"/>
  <c r="CG109" i="5"/>
  <c r="CG101" i="5"/>
  <c r="CG93" i="5"/>
  <c r="CG85" i="5"/>
  <c r="CG100" i="5"/>
  <c r="CG92" i="5"/>
  <c r="CG84" i="5"/>
  <c r="CG113" i="5"/>
  <c r="CG99" i="5"/>
  <c r="CG91" i="5"/>
  <c r="CG83" i="5"/>
  <c r="CG107" i="5"/>
  <c r="CG98" i="5"/>
  <c r="CG97" i="5"/>
  <c r="CG96" i="5"/>
  <c r="CG95" i="5"/>
  <c r="CG94" i="5"/>
  <c r="CG77" i="5"/>
  <c r="CG76" i="5"/>
  <c r="CG75" i="5"/>
  <c r="CG108" i="5"/>
  <c r="CG74" i="5"/>
  <c r="CG73" i="5"/>
  <c r="CG72" i="5"/>
  <c r="CG69" i="5"/>
  <c r="CG61" i="5"/>
  <c r="CG125" i="5"/>
  <c r="CG119" i="5"/>
  <c r="CG106" i="5"/>
  <c r="CG104" i="5"/>
  <c r="CG102" i="5"/>
  <c r="CG89" i="5"/>
  <c r="CG68" i="5"/>
  <c r="CG60" i="5"/>
  <c r="CG86" i="5"/>
  <c r="CG67" i="5"/>
  <c r="CG59" i="5"/>
  <c r="CG82" i="5"/>
  <c r="CG81" i="5"/>
  <c r="CG80" i="5"/>
  <c r="CG79" i="5"/>
  <c r="CG78" i="5"/>
  <c r="CG66" i="5"/>
  <c r="CG58" i="5"/>
  <c r="CG54" i="5"/>
  <c r="CG46" i="5"/>
  <c r="CG103" i="5"/>
  <c r="CG64" i="5"/>
  <c r="CG53" i="5"/>
  <c r="CG45" i="5"/>
  <c r="CG90" i="5"/>
  <c r="CG71" i="5"/>
  <c r="CG52" i="5"/>
  <c r="CG62" i="5"/>
  <c r="CG51" i="5"/>
  <c r="CG43" i="5"/>
  <c r="CG135" i="5"/>
  <c r="CG88" i="5"/>
  <c r="CG65" i="5"/>
  <c r="CG50" i="5"/>
  <c r="CG42" i="5"/>
  <c r="CG35" i="5"/>
  <c r="CG105" i="5"/>
  <c r="CG57" i="5"/>
  <c r="CG44" i="5"/>
  <c r="CG34" i="5"/>
  <c r="CG48" i="5"/>
  <c r="CG41" i="5"/>
  <c r="CG33" i="5"/>
  <c r="CG87" i="5"/>
  <c r="CG70" i="5"/>
  <c r="CG55" i="5"/>
  <c r="CG40" i="5"/>
  <c r="CG32" i="5"/>
  <c r="CG39" i="5"/>
  <c r="CG31" i="5"/>
  <c r="CG30" i="5"/>
  <c r="CG25" i="5"/>
  <c r="CG36" i="5"/>
  <c r="Q58" i="1" s="1"/>
  <c r="CG24" i="5"/>
  <c r="CG49" i="5"/>
  <c r="CG23" i="5"/>
  <c r="Q45" i="1" s="1"/>
  <c r="CG63" i="5"/>
  <c r="CG22" i="5"/>
  <c r="CG28" i="5"/>
  <c r="CG56" i="5"/>
  <c r="CG27" i="5"/>
  <c r="CG20" i="5"/>
  <c r="CG29" i="5"/>
  <c r="CG47" i="5"/>
  <c r="CG21" i="5"/>
  <c r="CG26" i="5"/>
  <c r="CG18" i="5"/>
  <c r="CG38" i="5"/>
  <c r="CG19" i="5"/>
  <c r="CG37" i="5"/>
  <c r="CG17" i="5"/>
  <c r="CG16" i="5"/>
  <c r="CF10" i="5"/>
  <c r="K63" i="1"/>
  <c r="Q63" i="1"/>
  <c r="I63" i="1"/>
  <c r="O63" i="1"/>
  <c r="M63" i="1"/>
  <c r="N63" i="1"/>
  <c r="P63" i="1"/>
  <c r="G64" i="1"/>
  <c r="F65" i="1"/>
  <c r="CG8" i="5" l="1"/>
  <c r="Q48" i="1"/>
  <c r="P48" i="1"/>
  <c r="Q44" i="1"/>
  <c r="P44" i="1"/>
  <c r="Q53" i="1"/>
  <c r="P53" i="1"/>
  <c r="Q40" i="1"/>
  <c r="P40" i="1"/>
  <c r="Q55" i="1"/>
  <c r="P55" i="1"/>
  <c r="F66" i="1"/>
  <c r="G65" i="1"/>
  <c r="CG7" i="5"/>
  <c r="Q38" i="1"/>
  <c r="P38" i="1"/>
  <c r="Q43" i="1"/>
  <c r="P43" i="1"/>
  <c r="P61" i="1"/>
  <c r="Q61" i="1"/>
  <c r="Q54" i="1"/>
  <c r="P54" i="1"/>
  <c r="Q56" i="1"/>
  <c r="P56" i="1"/>
  <c r="Q50" i="1"/>
  <c r="P50" i="1"/>
  <c r="O64" i="1"/>
  <c r="N64" i="1"/>
  <c r="M64" i="1"/>
  <c r="K64" i="1"/>
  <c r="I64" i="1"/>
  <c r="Q64" i="1"/>
  <c r="H64" i="1"/>
  <c r="Q39" i="1"/>
  <c r="P39" i="1"/>
  <c r="Q51" i="1"/>
  <c r="P51" i="1"/>
  <c r="P62" i="1"/>
  <c r="Q62" i="1"/>
  <c r="CG5" i="5"/>
  <c r="Q52" i="1"/>
  <c r="P52" i="1"/>
  <c r="P64" i="1"/>
  <c r="Q59" i="1"/>
  <c r="P59" i="1"/>
  <c r="Q42" i="1"/>
  <c r="P42" i="1"/>
  <c r="Q46" i="1"/>
  <c r="P46" i="1"/>
  <c r="Q41" i="1"/>
  <c r="P41" i="1"/>
  <c r="Q49" i="1"/>
  <c r="P49" i="1"/>
  <c r="Q60" i="1"/>
  <c r="P60" i="1"/>
  <c r="Q47" i="1"/>
  <c r="P47" i="1"/>
  <c r="Q57" i="1"/>
  <c r="P57" i="1"/>
  <c r="P45" i="1"/>
  <c r="P58" i="1"/>
  <c r="K65" i="1" l="1"/>
  <c r="Q65" i="1"/>
  <c r="I65" i="1"/>
  <c r="O65" i="1"/>
  <c r="M65" i="1"/>
  <c r="N65" i="1"/>
  <c r="H65" i="1"/>
  <c r="P65" i="1"/>
  <c r="CG9" i="5"/>
  <c r="G66" i="1"/>
  <c r="F67" i="1"/>
  <c r="F68" i="1" l="1"/>
  <c r="G67" i="1"/>
  <c r="O66" i="1"/>
  <c r="N66" i="1"/>
  <c r="M66" i="1"/>
  <c r="K66" i="1"/>
  <c r="I66" i="1"/>
  <c r="Q66" i="1"/>
  <c r="H66" i="1"/>
  <c r="P66" i="1"/>
  <c r="CH10" i="5"/>
  <c r="CG10" i="5"/>
  <c r="N14" i="3"/>
  <c r="N19" i="3" s="1"/>
  <c r="I63" i="2"/>
  <c r="I65" i="2" s="1"/>
  <c r="E53" i="2"/>
  <c r="E55" i="2" s="1"/>
  <c r="L14" i="3"/>
  <c r="K67" i="1" l="1"/>
  <c r="Q67" i="1"/>
  <c r="I67" i="1"/>
  <c r="O67" i="1"/>
  <c r="N67" i="1"/>
  <c r="M67" i="1"/>
  <c r="H67" i="1"/>
  <c r="M14" i="3"/>
  <c r="M19" i="3" s="1"/>
  <c r="AL4" i="5" s="1"/>
  <c r="L19" i="3"/>
  <c r="I67" i="2"/>
  <c r="I72" i="2"/>
  <c r="P67" i="1"/>
  <c r="G68" i="1"/>
  <c r="P68" i="1" s="1"/>
  <c r="F69" i="1"/>
  <c r="BP3" i="5"/>
  <c r="N21" i="3"/>
  <c r="H68" i="1" l="1"/>
  <c r="O18" i="3"/>
  <c r="L21" i="3"/>
  <c r="C29" i="3"/>
  <c r="G30" i="3" s="1"/>
  <c r="N23" i="3"/>
  <c r="N24" i="3" s="1"/>
  <c r="BK3" i="5"/>
  <c r="AU3" i="5"/>
  <c r="AU4" i="5" s="1"/>
  <c r="AN4" i="5"/>
  <c r="AM4" i="5"/>
  <c r="F70" i="1"/>
  <c r="G69" i="1"/>
  <c r="P69" i="1" s="1"/>
  <c r="O68" i="1"/>
  <c r="N68" i="1"/>
  <c r="M68" i="1"/>
  <c r="K68" i="1"/>
  <c r="Q68" i="1"/>
  <c r="I68" i="1"/>
  <c r="AO4" i="5" l="1"/>
  <c r="AM10" i="5"/>
  <c r="K69" i="1"/>
  <c r="Q69" i="1"/>
  <c r="I69" i="1"/>
  <c r="O69" i="1"/>
  <c r="M69" i="1"/>
  <c r="N69" i="1"/>
  <c r="H69" i="1"/>
  <c r="G70" i="1"/>
  <c r="H70" i="1" s="1"/>
  <c r="F71" i="1"/>
  <c r="L23" i="3"/>
  <c r="L24" i="3" s="1"/>
  <c r="C28" i="3"/>
  <c r="C30" i="3" s="1"/>
  <c r="M21" i="3"/>
  <c r="M23" i="3" s="1"/>
  <c r="M24" i="3" s="1"/>
  <c r="F72" i="1" l="1"/>
  <c r="G71" i="1"/>
  <c r="H71" i="1" s="1"/>
  <c r="O70" i="1"/>
  <c r="N70" i="1"/>
  <c r="M70" i="1"/>
  <c r="K70" i="1"/>
  <c r="Q70" i="1"/>
  <c r="I70" i="1"/>
  <c r="P70" i="1"/>
  <c r="K71" i="1" l="1"/>
  <c r="Q71" i="1"/>
  <c r="I71" i="1"/>
  <c r="O71" i="1"/>
  <c r="M71" i="1"/>
  <c r="N71" i="1"/>
  <c r="P71" i="1"/>
  <c r="G72" i="1"/>
  <c r="P72" i="1" s="1"/>
  <c r="F73" i="1"/>
  <c r="F74" i="1" l="1"/>
  <c r="G73" i="1"/>
  <c r="O72" i="1"/>
  <c r="N72" i="1"/>
  <c r="M72" i="1"/>
  <c r="K72" i="1"/>
  <c r="Q72" i="1"/>
  <c r="I72" i="1"/>
  <c r="H72" i="1"/>
  <c r="K73" i="1" l="1"/>
  <c r="Q73" i="1"/>
  <c r="I73" i="1"/>
  <c r="O73" i="1"/>
  <c r="N73" i="1"/>
  <c r="M73" i="1"/>
  <c r="P73" i="1"/>
  <c r="H73" i="1"/>
  <c r="P74" i="1"/>
  <c r="H74" i="1"/>
  <c r="G74" i="1"/>
  <c r="F75" i="1"/>
  <c r="O74" i="1" l="1"/>
  <c r="N74" i="1"/>
  <c r="M74" i="1"/>
  <c r="K74" i="1"/>
  <c r="I74" i="1"/>
  <c r="Q74" i="1"/>
  <c r="F76" i="1"/>
  <c r="G75" i="1"/>
  <c r="H75" i="1" s="1"/>
  <c r="P75" i="1" l="1"/>
  <c r="G76" i="1"/>
  <c r="F77" i="1"/>
  <c r="K75" i="1"/>
  <c r="Q75" i="1"/>
  <c r="I75" i="1"/>
  <c r="O75" i="1"/>
  <c r="N75" i="1"/>
  <c r="M75" i="1"/>
  <c r="F78" i="1" l="1"/>
  <c r="G77" i="1"/>
  <c r="O76" i="1"/>
  <c r="N76" i="1"/>
  <c r="M76" i="1"/>
  <c r="K76" i="1"/>
  <c r="Q76" i="1"/>
  <c r="I76" i="1"/>
  <c r="H76" i="1"/>
  <c r="P76" i="1"/>
  <c r="K77" i="1" l="1"/>
  <c r="Q77" i="1"/>
  <c r="I77" i="1"/>
  <c r="O77" i="1"/>
  <c r="M77" i="1"/>
  <c r="N77" i="1"/>
  <c r="P77" i="1"/>
  <c r="H77" i="1"/>
  <c r="P78" i="1"/>
  <c r="H78" i="1"/>
  <c r="G78" i="1"/>
  <c r="F79" i="1"/>
  <c r="F80" i="1" l="1"/>
  <c r="G79" i="1"/>
  <c r="O78" i="1"/>
  <c r="N78" i="1"/>
  <c r="M78" i="1"/>
  <c r="K78" i="1"/>
  <c r="Q78" i="1"/>
  <c r="I78" i="1"/>
  <c r="K79" i="1" l="1"/>
  <c r="Q79" i="1"/>
  <c r="I79" i="1"/>
  <c r="O79" i="1"/>
  <c r="M79" i="1"/>
  <c r="N79" i="1"/>
  <c r="H79" i="1"/>
  <c r="P79" i="1"/>
  <c r="G80" i="1"/>
  <c r="H80" i="1" s="1"/>
  <c r="F81" i="1"/>
  <c r="F82" i="1" l="1"/>
  <c r="G81" i="1"/>
  <c r="P81" i="1" s="1"/>
  <c r="O80" i="1"/>
  <c r="N80" i="1"/>
  <c r="M80" i="1"/>
  <c r="K80" i="1"/>
  <c r="I80" i="1"/>
  <c r="Q80" i="1"/>
  <c r="P80" i="1"/>
  <c r="K81" i="1" l="1"/>
  <c r="Q81" i="1"/>
  <c r="I81" i="1"/>
  <c r="O81" i="1"/>
  <c r="M81" i="1"/>
  <c r="N81" i="1"/>
  <c r="H81" i="1"/>
  <c r="G82" i="1"/>
  <c r="P82" i="1" s="1"/>
  <c r="F83" i="1"/>
  <c r="F84" i="1" l="1"/>
  <c r="G83" i="1"/>
  <c r="H83" i="1" s="1"/>
  <c r="O82" i="1"/>
  <c r="N82" i="1"/>
  <c r="M82" i="1"/>
  <c r="K82" i="1"/>
  <c r="I82" i="1"/>
  <c r="Q82" i="1"/>
  <c r="H82" i="1"/>
  <c r="K83" i="1" l="1"/>
  <c r="Q83" i="1"/>
  <c r="I83" i="1"/>
  <c r="O83" i="1"/>
  <c r="N83" i="1"/>
  <c r="M83" i="1"/>
  <c r="P83" i="1"/>
  <c r="G84" i="1"/>
  <c r="P84" i="1" s="1"/>
  <c r="F85" i="1"/>
  <c r="F86" i="1" l="1"/>
  <c r="G85" i="1"/>
  <c r="O84" i="1"/>
  <c r="N84" i="1"/>
  <c r="M84" i="1"/>
  <c r="K84" i="1"/>
  <c r="Q84" i="1"/>
  <c r="I84" i="1"/>
  <c r="H84" i="1"/>
  <c r="K85" i="1" l="1"/>
  <c r="Q85" i="1"/>
  <c r="I85" i="1"/>
  <c r="O85" i="1"/>
  <c r="M85" i="1"/>
  <c r="N85" i="1"/>
  <c r="H85" i="1"/>
  <c r="P85" i="1"/>
  <c r="G86" i="1"/>
  <c r="H86" i="1" s="1"/>
  <c r="F87" i="1"/>
  <c r="F88" i="1" l="1"/>
  <c r="G87" i="1"/>
  <c r="P87" i="1" s="1"/>
  <c r="O86" i="1"/>
  <c r="N86" i="1"/>
  <c r="M86" i="1"/>
  <c r="K86" i="1"/>
  <c r="Q86" i="1"/>
  <c r="I86" i="1"/>
  <c r="P86" i="1"/>
  <c r="K87" i="1" l="1"/>
  <c r="Q87" i="1"/>
  <c r="I87" i="1"/>
  <c r="O87" i="1"/>
  <c r="M87" i="1"/>
  <c r="N87" i="1"/>
  <c r="H87" i="1"/>
  <c r="G88" i="1"/>
  <c r="P88" i="1" s="1"/>
  <c r="F89" i="1"/>
  <c r="F90" i="1" l="1"/>
  <c r="G89" i="1"/>
  <c r="H88" i="1"/>
  <c r="O88" i="1"/>
  <c r="N88" i="1"/>
  <c r="M88" i="1"/>
  <c r="K88" i="1"/>
  <c r="I88" i="1"/>
  <c r="Q88" i="1"/>
  <c r="K89" i="1" l="1"/>
  <c r="Q89" i="1"/>
  <c r="I89" i="1"/>
  <c r="O89" i="1"/>
  <c r="N89" i="1"/>
  <c r="M89" i="1"/>
  <c r="H89" i="1"/>
  <c r="P89" i="1"/>
  <c r="P90" i="1"/>
  <c r="H90" i="1"/>
  <c r="G90" i="1"/>
  <c r="F91" i="1"/>
  <c r="F92" i="1" l="1"/>
  <c r="G91" i="1"/>
  <c r="O90" i="1"/>
  <c r="N90" i="1"/>
  <c r="M90" i="1"/>
  <c r="K90" i="1"/>
  <c r="I90" i="1"/>
  <c r="Q90" i="1"/>
  <c r="K91" i="1" l="1"/>
  <c r="Q91" i="1"/>
  <c r="I91" i="1"/>
  <c r="O91" i="1"/>
  <c r="N91" i="1"/>
  <c r="M91" i="1"/>
  <c r="H91" i="1"/>
  <c r="P91" i="1"/>
  <c r="P92" i="1"/>
  <c r="H92" i="1"/>
  <c r="G92" i="1"/>
  <c r="F93" i="1"/>
  <c r="F94" i="1" l="1"/>
  <c r="G93" i="1"/>
  <c r="O92" i="1"/>
  <c r="N92" i="1"/>
  <c r="M92" i="1"/>
  <c r="K92" i="1"/>
  <c r="Q92" i="1"/>
  <c r="I92" i="1"/>
  <c r="K93" i="1" l="1"/>
  <c r="Q93" i="1"/>
  <c r="I93" i="1"/>
  <c r="O93" i="1"/>
  <c r="M93" i="1"/>
  <c r="N93" i="1"/>
  <c r="H93" i="1"/>
  <c r="P93" i="1"/>
  <c r="P94" i="1"/>
  <c r="H94" i="1"/>
  <c r="G94" i="1"/>
  <c r="F95" i="1"/>
  <c r="F96" i="1" l="1"/>
  <c r="G95" i="1"/>
  <c r="O94" i="1"/>
  <c r="N94" i="1"/>
  <c r="M94" i="1"/>
  <c r="K94" i="1"/>
  <c r="Q94" i="1"/>
  <c r="I94" i="1"/>
  <c r="K95" i="1" l="1"/>
  <c r="Q95" i="1"/>
  <c r="I95" i="1"/>
  <c r="O95" i="1"/>
  <c r="M95" i="1"/>
  <c r="N95" i="1"/>
  <c r="H95" i="1"/>
  <c r="P95" i="1"/>
  <c r="P96" i="1"/>
  <c r="H96" i="1"/>
  <c r="G96" i="1"/>
  <c r="F97" i="1"/>
  <c r="F98" i="1" l="1"/>
  <c r="G97" i="1"/>
  <c r="O96" i="1"/>
  <c r="N96" i="1"/>
  <c r="M96" i="1"/>
  <c r="K96" i="1"/>
  <c r="I96" i="1"/>
  <c r="Q96" i="1"/>
  <c r="K97" i="1" l="1"/>
  <c r="Q97" i="1"/>
  <c r="I97" i="1"/>
  <c r="O97" i="1"/>
  <c r="M97" i="1"/>
  <c r="N97" i="1"/>
  <c r="H97" i="1"/>
  <c r="P97" i="1"/>
  <c r="P98" i="1"/>
  <c r="H98" i="1"/>
  <c r="G98" i="1"/>
  <c r="F99" i="1"/>
  <c r="F100" i="1" l="1"/>
  <c r="G99" i="1"/>
  <c r="O98" i="1"/>
  <c r="N98" i="1"/>
  <c r="M98" i="1"/>
  <c r="K98" i="1"/>
  <c r="I98" i="1"/>
  <c r="Q98" i="1"/>
  <c r="K99" i="1" l="1"/>
  <c r="Q99" i="1"/>
  <c r="I99" i="1"/>
  <c r="O99" i="1"/>
  <c r="N99" i="1"/>
  <c r="M99" i="1"/>
  <c r="H99" i="1"/>
  <c r="P99" i="1"/>
  <c r="G100" i="1"/>
  <c r="P100" i="1" s="1"/>
  <c r="F101" i="1"/>
  <c r="H100" i="1" l="1"/>
  <c r="F102" i="1"/>
  <c r="G101" i="1"/>
  <c r="O100" i="1"/>
  <c r="N100" i="1"/>
  <c r="M100" i="1"/>
  <c r="K100" i="1"/>
  <c r="Q100" i="1"/>
  <c r="I100" i="1"/>
  <c r="K101" i="1" l="1"/>
  <c r="Q101" i="1"/>
  <c r="I101" i="1"/>
  <c r="O101" i="1"/>
  <c r="M101" i="1"/>
  <c r="N101" i="1"/>
  <c r="H101" i="1"/>
  <c r="P101" i="1"/>
  <c r="P102" i="1"/>
  <c r="H102" i="1"/>
  <c r="G102" i="1"/>
  <c r="F103" i="1"/>
  <c r="O102" i="1" l="1"/>
  <c r="N102" i="1"/>
  <c r="M102" i="1"/>
  <c r="K102" i="1"/>
  <c r="Q102" i="1"/>
  <c r="I102" i="1"/>
  <c r="F104" i="1"/>
  <c r="G103" i="1"/>
  <c r="G104" i="1" l="1"/>
  <c r="F105" i="1"/>
  <c r="K103" i="1"/>
  <c r="Q103" i="1"/>
  <c r="I103" i="1"/>
  <c r="O103" i="1"/>
  <c r="M103" i="1"/>
  <c r="N103" i="1"/>
  <c r="H103" i="1"/>
  <c r="P103" i="1"/>
  <c r="F106" i="1" l="1"/>
  <c r="G105" i="1"/>
  <c r="O104" i="1"/>
  <c r="N104" i="1"/>
  <c r="M104" i="1"/>
  <c r="K104" i="1"/>
  <c r="I104" i="1"/>
  <c r="Q104" i="1"/>
  <c r="H104" i="1"/>
  <c r="P104" i="1"/>
  <c r="K105" i="1" l="1"/>
  <c r="Q105" i="1"/>
  <c r="I105" i="1"/>
  <c r="O105" i="1"/>
  <c r="N105" i="1"/>
  <c r="M105" i="1"/>
  <c r="H105" i="1"/>
  <c r="P105" i="1"/>
  <c r="P106" i="1"/>
  <c r="H106" i="1"/>
  <c r="G106" i="1"/>
  <c r="F107" i="1"/>
  <c r="F108" i="1" l="1"/>
  <c r="G107" i="1"/>
  <c r="O106" i="1"/>
  <c r="N106" i="1"/>
  <c r="M106" i="1"/>
  <c r="K106" i="1"/>
  <c r="I106" i="1"/>
  <c r="Q106" i="1"/>
  <c r="K107" i="1" l="1"/>
  <c r="Q107" i="1"/>
  <c r="I107" i="1"/>
  <c r="O107" i="1"/>
  <c r="N107" i="1"/>
  <c r="M107" i="1"/>
  <c r="H107" i="1"/>
  <c r="P107" i="1"/>
  <c r="P108" i="1"/>
  <c r="H108" i="1"/>
  <c r="G108" i="1"/>
  <c r="F109" i="1"/>
  <c r="F110" i="1" l="1"/>
  <c r="G109" i="1"/>
  <c r="O108" i="1"/>
  <c r="N108" i="1"/>
  <c r="M108" i="1"/>
  <c r="K108" i="1"/>
  <c r="Q108" i="1"/>
  <c r="I108" i="1"/>
  <c r="K109" i="1" l="1"/>
  <c r="Q109" i="1"/>
  <c r="I109" i="1"/>
  <c r="O109" i="1"/>
  <c r="M109" i="1"/>
  <c r="N109" i="1"/>
  <c r="H109" i="1"/>
  <c r="P109" i="1"/>
  <c r="P110" i="1"/>
  <c r="H110" i="1"/>
  <c r="G110" i="1"/>
  <c r="F111" i="1"/>
  <c r="F112" i="1" l="1"/>
  <c r="G111" i="1"/>
  <c r="P111" i="1" s="1"/>
  <c r="O110" i="1"/>
  <c r="N110" i="1"/>
  <c r="M110" i="1"/>
  <c r="K110" i="1"/>
  <c r="Q110" i="1"/>
  <c r="I110" i="1"/>
  <c r="K111" i="1" l="1"/>
  <c r="Q111" i="1"/>
  <c r="I111" i="1"/>
  <c r="O111" i="1"/>
  <c r="M111" i="1"/>
  <c r="N111" i="1"/>
  <c r="H111" i="1"/>
  <c r="G112" i="1"/>
  <c r="F113" i="1"/>
  <c r="F114" i="1" l="1"/>
  <c r="G113" i="1"/>
  <c r="O112" i="1"/>
  <c r="N112" i="1"/>
  <c r="M112" i="1"/>
  <c r="K112" i="1"/>
  <c r="I112" i="1"/>
  <c r="Q112" i="1"/>
  <c r="H112" i="1"/>
  <c r="P112" i="1"/>
  <c r="K113" i="1" l="1"/>
  <c r="Q113" i="1"/>
  <c r="I113" i="1"/>
  <c r="O113" i="1"/>
  <c r="M113" i="1"/>
  <c r="N113" i="1"/>
  <c r="H113" i="1"/>
  <c r="P113" i="1"/>
  <c r="P114" i="1"/>
  <c r="H114" i="1"/>
  <c r="G114" i="1"/>
  <c r="F115" i="1"/>
  <c r="O114" i="1" l="1"/>
  <c r="N114" i="1"/>
  <c r="M114" i="1"/>
  <c r="K114" i="1"/>
  <c r="I114" i="1"/>
  <c r="Q114" i="1"/>
  <c r="F116" i="1"/>
  <c r="H115" i="1"/>
  <c r="G115" i="1"/>
  <c r="P115" i="1" s="1"/>
  <c r="K115" i="1" l="1"/>
  <c r="Q115" i="1"/>
  <c r="I115" i="1"/>
  <c r="O115" i="1"/>
  <c r="N115" i="1"/>
  <c r="M115" i="1"/>
  <c r="H116" i="1"/>
  <c r="G116" i="1"/>
  <c r="F117" i="1"/>
  <c r="F118" i="1" l="1"/>
  <c r="G117" i="1"/>
  <c r="O116" i="1"/>
  <c r="N116" i="1"/>
  <c r="M116" i="1"/>
  <c r="K116" i="1"/>
  <c r="Q116" i="1"/>
  <c r="I116" i="1"/>
  <c r="P116" i="1"/>
  <c r="K117" i="1" l="1"/>
  <c r="Q117" i="1"/>
  <c r="I117" i="1"/>
  <c r="O117" i="1"/>
  <c r="M117" i="1"/>
  <c r="N117" i="1"/>
  <c r="H117" i="1"/>
  <c r="P117" i="1"/>
  <c r="G118" i="1"/>
  <c r="P118" i="1" s="1"/>
  <c r="F119" i="1"/>
  <c r="H118" i="1" l="1"/>
  <c r="F120" i="1"/>
  <c r="G119" i="1"/>
  <c r="O118" i="1"/>
  <c r="N118" i="1"/>
  <c r="M118" i="1"/>
  <c r="K118" i="1"/>
  <c r="Q118" i="1"/>
  <c r="I118" i="1"/>
  <c r="K119" i="1" l="1"/>
  <c r="Q119" i="1"/>
  <c r="I119" i="1"/>
  <c r="O119" i="1"/>
  <c r="M119" i="1"/>
  <c r="N119" i="1"/>
  <c r="H119" i="1"/>
  <c r="P119" i="1"/>
  <c r="P120" i="1"/>
  <c r="H120" i="1"/>
  <c r="G120" i="1"/>
  <c r="F121" i="1"/>
  <c r="F122" i="1" l="1"/>
  <c r="G121" i="1"/>
  <c r="O120" i="1"/>
  <c r="N120" i="1"/>
  <c r="M120" i="1"/>
  <c r="K120" i="1"/>
  <c r="I120" i="1"/>
  <c r="Q120" i="1"/>
  <c r="K121" i="1" l="1"/>
  <c r="Q121" i="1"/>
  <c r="I121" i="1"/>
  <c r="O121" i="1"/>
  <c r="N121" i="1"/>
  <c r="M121" i="1"/>
  <c r="H121" i="1"/>
  <c r="P121" i="1"/>
  <c r="P122" i="1"/>
  <c r="H122" i="1"/>
  <c r="G122" i="1"/>
  <c r="F123" i="1"/>
  <c r="F124" i="1" l="1"/>
  <c r="G123" i="1"/>
  <c r="P123" i="1" s="1"/>
  <c r="O122" i="1"/>
  <c r="N122" i="1"/>
  <c r="M122" i="1"/>
  <c r="K122" i="1"/>
  <c r="I122" i="1"/>
  <c r="Q122" i="1"/>
  <c r="K123" i="1" l="1"/>
  <c r="Q123" i="1"/>
  <c r="I123" i="1"/>
  <c r="O123" i="1"/>
  <c r="N123" i="1"/>
  <c r="M123" i="1"/>
  <c r="H123" i="1"/>
  <c r="G124" i="1"/>
  <c r="F125" i="1"/>
  <c r="O124" i="1" l="1"/>
  <c r="N124" i="1"/>
  <c r="M124" i="1"/>
  <c r="K124" i="1"/>
  <c r="Q124" i="1"/>
  <c r="I124" i="1"/>
  <c r="F126" i="1"/>
  <c r="H125" i="1"/>
  <c r="G125" i="1"/>
  <c r="P125" i="1" s="1"/>
  <c r="H124" i="1"/>
  <c r="P124" i="1"/>
  <c r="K125" i="1" l="1"/>
  <c r="Q125" i="1"/>
  <c r="I125" i="1"/>
  <c r="O125" i="1"/>
  <c r="M125" i="1"/>
  <c r="N125" i="1"/>
  <c r="G126" i="1"/>
  <c r="H126" i="1" s="1"/>
  <c r="F127" i="1"/>
  <c r="F128" i="1" l="1"/>
  <c r="G127" i="1"/>
  <c r="O126" i="1"/>
  <c r="N126" i="1"/>
  <c r="M126" i="1"/>
  <c r="K126" i="1"/>
  <c r="Q126" i="1"/>
  <c r="I126" i="1"/>
  <c r="P126" i="1"/>
  <c r="K127" i="1" l="1"/>
  <c r="Q127" i="1"/>
  <c r="I127" i="1"/>
  <c r="O127" i="1"/>
  <c r="M127" i="1"/>
  <c r="N127" i="1"/>
  <c r="H127" i="1"/>
  <c r="P127" i="1"/>
  <c r="P128" i="1"/>
  <c r="H128" i="1"/>
  <c r="G128" i="1"/>
  <c r="F129" i="1"/>
  <c r="F130" i="1" l="1"/>
  <c r="G129" i="1"/>
  <c r="O128" i="1"/>
  <c r="N128" i="1"/>
  <c r="M128" i="1"/>
  <c r="K128" i="1"/>
  <c r="I128" i="1"/>
  <c r="Q128" i="1"/>
  <c r="K129" i="1" l="1"/>
  <c r="Q129" i="1"/>
  <c r="I129" i="1"/>
  <c r="O129" i="1"/>
  <c r="M129" i="1"/>
  <c r="N129" i="1"/>
  <c r="H129" i="1"/>
  <c r="P129" i="1"/>
  <c r="P130" i="1"/>
  <c r="H130" i="1"/>
  <c r="G130" i="1"/>
  <c r="F131" i="1"/>
  <c r="F132" i="1" l="1"/>
  <c r="G131" i="1"/>
  <c r="O130" i="1"/>
  <c r="N130" i="1"/>
  <c r="M130" i="1"/>
  <c r="K130" i="1"/>
  <c r="I130" i="1"/>
  <c r="Q130" i="1"/>
  <c r="K131" i="1" l="1"/>
  <c r="Q131" i="1"/>
  <c r="I131" i="1"/>
  <c r="O131" i="1"/>
  <c r="N131" i="1"/>
  <c r="M131" i="1"/>
  <c r="H131" i="1"/>
  <c r="P131" i="1"/>
  <c r="P132" i="1"/>
  <c r="H132" i="1"/>
  <c r="G132" i="1"/>
  <c r="F133" i="1"/>
  <c r="F134" i="1" l="1"/>
  <c r="G133" i="1"/>
  <c r="O132" i="1"/>
  <c r="N132" i="1"/>
  <c r="M132" i="1"/>
  <c r="K132" i="1"/>
  <c r="Q132" i="1"/>
  <c r="I132" i="1"/>
  <c r="K133" i="1" l="1"/>
  <c r="Q133" i="1"/>
  <c r="I133" i="1"/>
  <c r="O133" i="1"/>
  <c r="M133" i="1"/>
  <c r="N133" i="1"/>
  <c r="H133" i="1"/>
  <c r="P133" i="1"/>
  <c r="P134" i="1"/>
  <c r="H134" i="1"/>
  <c r="G134" i="1"/>
  <c r="F135" i="1"/>
  <c r="F136" i="1" l="1"/>
  <c r="G135" i="1"/>
  <c r="O134" i="1"/>
  <c r="N134" i="1"/>
  <c r="M134" i="1"/>
  <c r="K134" i="1"/>
  <c r="Q134" i="1"/>
  <c r="I134" i="1"/>
  <c r="K135" i="1" l="1"/>
  <c r="Q135" i="1"/>
  <c r="I135" i="1"/>
  <c r="O135" i="1"/>
  <c r="M135" i="1"/>
  <c r="N135" i="1"/>
  <c r="H135" i="1"/>
  <c r="P135" i="1"/>
  <c r="P136" i="1"/>
  <c r="H136" i="1"/>
  <c r="G136" i="1"/>
  <c r="F137" i="1"/>
  <c r="F138" i="1" l="1"/>
  <c r="G137" i="1"/>
  <c r="O136" i="1"/>
  <c r="N136" i="1"/>
  <c r="M136" i="1"/>
  <c r="K136" i="1"/>
  <c r="Q136" i="1"/>
  <c r="I136" i="1"/>
  <c r="K137" i="1" l="1"/>
  <c r="Q137" i="1"/>
  <c r="I137" i="1"/>
  <c r="O137" i="1"/>
  <c r="M137" i="1"/>
  <c r="N137" i="1"/>
  <c r="H137" i="1"/>
  <c r="P137" i="1"/>
  <c r="P138" i="1"/>
  <c r="H138" i="1"/>
  <c r="G138" i="1"/>
  <c r="F139" i="1"/>
  <c r="F140" i="1" l="1"/>
  <c r="G139" i="1"/>
  <c r="O138" i="1"/>
  <c r="N138" i="1"/>
  <c r="M138" i="1"/>
  <c r="K138" i="1"/>
  <c r="I138" i="1"/>
  <c r="Q138" i="1"/>
  <c r="K139" i="1" l="1"/>
  <c r="Q139" i="1"/>
  <c r="I139" i="1"/>
  <c r="O139" i="1"/>
  <c r="N139" i="1"/>
  <c r="M139" i="1"/>
  <c r="H139" i="1"/>
  <c r="P139" i="1"/>
  <c r="G140" i="1"/>
  <c r="P140" i="1" s="1"/>
  <c r="F141" i="1"/>
  <c r="H140" i="1" l="1"/>
  <c r="E41" i="2"/>
  <c r="J41" i="2" s="1"/>
  <c r="H41" i="2"/>
  <c r="H63" i="2"/>
  <c r="H60" i="2"/>
  <c r="F142" i="1"/>
  <c r="G141" i="1"/>
  <c r="P141" i="1" s="1"/>
  <c r="O140" i="1"/>
  <c r="N140" i="1"/>
  <c r="M140" i="1"/>
  <c r="K140" i="1"/>
  <c r="Q140" i="1"/>
  <c r="I140" i="1"/>
  <c r="H64" i="2"/>
  <c r="G142" i="1" l="1"/>
  <c r="F143" i="1"/>
  <c r="E40" i="2"/>
  <c r="C42" i="2"/>
  <c r="C44" i="2"/>
  <c r="E44" i="2" s="1"/>
  <c r="H40" i="2"/>
  <c r="H42" i="2" s="1"/>
  <c r="F44" i="2"/>
  <c r="H44" i="2" s="1"/>
  <c r="F42" i="2"/>
  <c r="K141" i="1"/>
  <c r="Q141" i="1"/>
  <c r="I141" i="1"/>
  <c r="O141" i="1"/>
  <c r="M141" i="1"/>
  <c r="N141" i="1"/>
  <c r="C65" i="2"/>
  <c r="H141" i="1"/>
  <c r="F65" i="2"/>
  <c r="F72" i="2" s="1"/>
  <c r="F144" i="1" l="1"/>
  <c r="G143" i="1"/>
  <c r="P143" i="1" s="1"/>
  <c r="E42" i="2"/>
  <c r="J40" i="2"/>
  <c r="O142" i="1"/>
  <c r="N142" i="1"/>
  <c r="M142" i="1"/>
  <c r="K142" i="1"/>
  <c r="Q142" i="1"/>
  <c r="I142" i="1"/>
  <c r="H142" i="1"/>
  <c r="C72" i="2"/>
  <c r="P142" i="1"/>
  <c r="J44" i="2" l="1"/>
  <c r="J42" i="2"/>
  <c r="H143" i="1"/>
  <c r="K143" i="1"/>
  <c r="Q143" i="1"/>
  <c r="I143" i="1"/>
  <c r="O143" i="1"/>
  <c r="M143" i="1"/>
  <c r="N143" i="1"/>
  <c r="G144" i="1"/>
  <c r="F145" i="1"/>
  <c r="O144" i="1" l="1"/>
  <c r="N144" i="1"/>
  <c r="M144" i="1"/>
  <c r="K144" i="1"/>
  <c r="I144" i="1"/>
  <c r="Q144" i="1"/>
  <c r="F146" i="1"/>
  <c r="G145" i="1"/>
  <c r="P144" i="1"/>
  <c r="H144" i="1"/>
  <c r="K145" i="1" l="1"/>
  <c r="Q145" i="1"/>
  <c r="I145" i="1"/>
  <c r="O145" i="1"/>
  <c r="N145" i="1"/>
  <c r="M145" i="1"/>
  <c r="G146" i="1"/>
  <c r="F147" i="1"/>
  <c r="H145" i="1"/>
  <c r="P145" i="1"/>
  <c r="O146" i="1" l="1"/>
  <c r="N146" i="1"/>
  <c r="M146" i="1"/>
  <c r="K146" i="1"/>
  <c r="I146" i="1"/>
  <c r="Q146" i="1"/>
  <c r="F148" i="1"/>
  <c r="G147" i="1"/>
  <c r="P147" i="1" s="1"/>
  <c r="H146" i="1"/>
  <c r="P146" i="1"/>
  <c r="H147" i="1" l="1"/>
  <c r="G148" i="1"/>
  <c r="F149" i="1"/>
  <c r="K147" i="1"/>
  <c r="Q147" i="1"/>
  <c r="I147" i="1"/>
  <c r="O147" i="1"/>
  <c r="N147" i="1"/>
  <c r="M147" i="1"/>
  <c r="F150" i="1" l="1"/>
  <c r="G149" i="1"/>
  <c r="O148" i="1"/>
  <c r="N148" i="1"/>
  <c r="M148" i="1"/>
  <c r="K148" i="1"/>
  <c r="Q148" i="1"/>
  <c r="I148" i="1"/>
  <c r="H148" i="1"/>
  <c r="P148" i="1"/>
  <c r="K149" i="1" l="1"/>
  <c r="Q149" i="1"/>
  <c r="I149" i="1"/>
  <c r="O149" i="1"/>
  <c r="M149" i="1"/>
  <c r="N149" i="1"/>
  <c r="H149" i="1"/>
  <c r="P149" i="1"/>
  <c r="P150" i="1"/>
  <c r="H150" i="1"/>
  <c r="G150" i="1"/>
  <c r="F151" i="1"/>
  <c r="F152" i="1" l="1"/>
  <c r="G151" i="1"/>
  <c r="O150" i="1"/>
  <c r="N150" i="1"/>
  <c r="M150" i="1"/>
  <c r="K150" i="1"/>
  <c r="Q150" i="1"/>
  <c r="I150" i="1"/>
  <c r="K151" i="1" l="1"/>
  <c r="Q151" i="1"/>
  <c r="I151" i="1"/>
  <c r="O151" i="1"/>
  <c r="M151" i="1"/>
  <c r="N151" i="1"/>
  <c r="H151" i="1"/>
  <c r="P151" i="1"/>
  <c r="F153" i="1"/>
  <c r="H152" i="1"/>
  <c r="G152" i="1"/>
  <c r="Q152" i="1" l="1"/>
  <c r="I152" i="1"/>
  <c r="O152" i="1"/>
  <c r="N152" i="1"/>
  <c r="M152" i="1"/>
  <c r="K152" i="1"/>
  <c r="P152" i="1"/>
  <c r="F154" i="1"/>
  <c r="G153" i="1"/>
  <c r="H153" i="1" s="1"/>
  <c r="N153" i="1" l="1"/>
  <c r="M153" i="1"/>
  <c r="Q153" i="1"/>
  <c r="O153" i="1"/>
  <c r="K153" i="1"/>
  <c r="I153" i="1"/>
  <c r="F155" i="1"/>
  <c r="G154" i="1"/>
  <c r="H154" i="1" s="1"/>
  <c r="P153" i="1"/>
  <c r="P154" i="1" l="1"/>
  <c r="Q154" i="1"/>
  <c r="I154" i="1"/>
  <c r="O154" i="1"/>
  <c r="N154" i="1"/>
  <c r="M154" i="1"/>
  <c r="K154" i="1"/>
  <c r="G155" i="1"/>
  <c r="F156" i="1"/>
  <c r="F157" i="1" l="1"/>
  <c r="G156" i="1"/>
  <c r="P156" i="1" s="1"/>
  <c r="N155" i="1"/>
  <c r="M155" i="1"/>
  <c r="Q155" i="1"/>
  <c r="O155" i="1"/>
  <c r="K155" i="1"/>
  <c r="I155" i="1"/>
  <c r="H155" i="1"/>
  <c r="P155" i="1"/>
  <c r="H156" i="1" l="1"/>
  <c r="Q156" i="1"/>
  <c r="I156" i="1"/>
  <c r="O156" i="1"/>
  <c r="N156" i="1"/>
  <c r="M156" i="1"/>
  <c r="K156" i="1"/>
  <c r="G157" i="1"/>
  <c r="F158" i="1"/>
  <c r="F159" i="1" l="1"/>
  <c r="G158" i="1"/>
  <c r="P158" i="1" s="1"/>
  <c r="N157" i="1"/>
  <c r="M157" i="1"/>
  <c r="I157" i="1"/>
  <c r="Q157" i="1"/>
  <c r="O157" i="1"/>
  <c r="K157" i="1"/>
  <c r="H157" i="1"/>
  <c r="P157" i="1"/>
  <c r="Q158" i="1" l="1"/>
  <c r="I158" i="1"/>
  <c r="O158" i="1"/>
  <c r="N158" i="1"/>
  <c r="M158" i="1"/>
  <c r="K158" i="1"/>
  <c r="H158" i="1"/>
  <c r="G159" i="1"/>
  <c r="F160" i="1"/>
  <c r="F161" i="1" l="1"/>
  <c r="G160" i="1"/>
  <c r="P160" i="1" s="1"/>
  <c r="N159" i="1"/>
  <c r="M159" i="1"/>
  <c r="I159" i="1"/>
  <c r="Q159" i="1"/>
  <c r="O159" i="1"/>
  <c r="K159" i="1"/>
  <c r="H159" i="1"/>
  <c r="P159" i="1"/>
  <c r="Q160" i="1" l="1"/>
  <c r="I160" i="1"/>
  <c r="K160" i="1"/>
  <c r="O160" i="1"/>
  <c r="N160" i="1"/>
  <c r="M160" i="1"/>
  <c r="H160" i="1"/>
  <c r="G161" i="1"/>
  <c r="P161" i="1" s="1"/>
  <c r="F162" i="1"/>
  <c r="H161" i="1" l="1"/>
  <c r="F163" i="1"/>
  <c r="G162" i="1"/>
  <c r="P162" i="1" s="1"/>
  <c r="N161" i="1"/>
  <c r="M161" i="1"/>
  <c r="K161" i="1"/>
  <c r="I161" i="1"/>
  <c r="Q161" i="1"/>
  <c r="O161" i="1"/>
  <c r="Q162" i="1" l="1"/>
  <c r="I162" i="1"/>
  <c r="M162" i="1"/>
  <c r="K162" i="1"/>
  <c r="N162" i="1"/>
  <c r="O162" i="1"/>
  <c r="H162" i="1"/>
  <c r="G163" i="1"/>
  <c r="P163" i="1" s="1"/>
  <c r="F164" i="1"/>
  <c r="H163" i="1" l="1"/>
  <c r="F165" i="1"/>
  <c r="G164" i="1"/>
  <c r="H164" i="1" s="1"/>
  <c r="N163" i="1"/>
  <c r="M163" i="1"/>
  <c r="K163" i="1"/>
  <c r="I163" i="1"/>
  <c r="O163" i="1"/>
  <c r="Q163" i="1"/>
  <c r="P164" i="1" l="1"/>
  <c r="Q164" i="1"/>
  <c r="I164" i="1"/>
  <c r="N164" i="1"/>
  <c r="M164" i="1"/>
  <c r="K164" i="1"/>
  <c r="O164" i="1"/>
  <c r="G165" i="1"/>
  <c r="F166" i="1"/>
  <c r="F167" i="1" l="1"/>
  <c r="G166" i="1"/>
  <c r="P166" i="1" s="1"/>
  <c r="N165" i="1"/>
  <c r="M165" i="1"/>
  <c r="O165" i="1"/>
  <c r="K165" i="1"/>
  <c r="I165" i="1"/>
  <c r="Q165" i="1"/>
  <c r="H165" i="1"/>
  <c r="P165" i="1"/>
  <c r="Q166" i="1" l="1"/>
  <c r="I166" i="1"/>
  <c r="O166" i="1"/>
  <c r="N166" i="1"/>
  <c r="M166" i="1"/>
  <c r="K166" i="1"/>
  <c r="H166" i="1"/>
  <c r="F168" i="1"/>
  <c r="G167" i="1"/>
  <c r="P167" i="1" s="1"/>
  <c r="H167" i="1" l="1"/>
  <c r="N167" i="1"/>
  <c r="M167" i="1"/>
  <c r="Q167" i="1"/>
  <c r="O167" i="1"/>
  <c r="K167" i="1"/>
  <c r="I167" i="1"/>
  <c r="F169" i="1"/>
  <c r="G168" i="1"/>
  <c r="H168" i="1" s="1"/>
  <c r="Q168" i="1" l="1"/>
  <c r="I168" i="1"/>
  <c r="O168" i="1"/>
  <c r="N168" i="1"/>
  <c r="M168" i="1"/>
  <c r="K168" i="1"/>
  <c r="P168" i="1"/>
  <c r="P169" i="1"/>
  <c r="H169" i="1"/>
  <c r="F170" i="1"/>
  <c r="G169" i="1"/>
  <c r="N169" i="1" l="1"/>
  <c r="M169" i="1"/>
  <c r="Q169" i="1"/>
  <c r="O169" i="1"/>
  <c r="K169" i="1"/>
  <c r="I169" i="1"/>
  <c r="F171" i="1"/>
  <c r="G170" i="1"/>
  <c r="Q170" i="1" l="1"/>
  <c r="I170" i="1"/>
  <c r="O170" i="1"/>
  <c r="N170" i="1"/>
  <c r="M170" i="1"/>
  <c r="K170" i="1"/>
  <c r="H170" i="1"/>
  <c r="P170" i="1"/>
  <c r="G171" i="1"/>
  <c r="P171" i="1" s="1"/>
  <c r="F172" i="1"/>
  <c r="F173" i="1" l="1"/>
  <c r="G172" i="1"/>
  <c r="P172" i="1" s="1"/>
  <c r="N171" i="1"/>
  <c r="M171" i="1"/>
  <c r="Q171" i="1"/>
  <c r="O171" i="1"/>
  <c r="K171" i="1"/>
  <c r="I171" i="1"/>
  <c r="H171" i="1"/>
  <c r="H172" i="1" l="1"/>
  <c r="Q172" i="1"/>
  <c r="I172" i="1"/>
  <c r="O172" i="1"/>
  <c r="N172" i="1"/>
  <c r="M172" i="1"/>
  <c r="K172" i="1"/>
  <c r="G173" i="1"/>
  <c r="F174" i="1"/>
  <c r="F175" i="1" l="1"/>
  <c r="G174" i="1"/>
  <c r="P174" i="1" s="1"/>
  <c r="N173" i="1"/>
  <c r="M173" i="1"/>
  <c r="I173" i="1"/>
  <c r="Q173" i="1"/>
  <c r="O173" i="1"/>
  <c r="K173" i="1"/>
  <c r="H173" i="1"/>
  <c r="P173" i="1"/>
  <c r="Q174" i="1" l="1"/>
  <c r="I174" i="1"/>
  <c r="O174" i="1"/>
  <c r="N174" i="1"/>
  <c r="M174" i="1"/>
  <c r="K174" i="1"/>
  <c r="H174" i="1"/>
  <c r="G175" i="1"/>
  <c r="P175" i="1" s="1"/>
  <c r="F176" i="1"/>
  <c r="H175" i="1" l="1"/>
  <c r="F177" i="1"/>
  <c r="G176" i="1"/>
  <c r="P176" i="1" s="1"/>
  <c r="N175" i="1"/>
  <c r="M175" i="1"/>
  <c r="I175" i="1"/>
  <c r="Q175" i="1"/>
  <c r="O175" i="1"/>
  <c r="K175" i="1"/>
  <c r="Q176" i="1" l="1"/>
  <c r="I176" i="1"/>
  <c r="K176" i="1"/>
  <c r="O176" i="1"/>
  <c r="M176" i="1"/>
  <c r="N176" i="1"/>
  <c r="H176" i="1"/>
  <c r="G177" i="1"/>
  <c r="P177" i="1" s="1"/>
  <c r="F178" i="1"/>
  <c r="H177" i="1" l="1"/>
  <c r="F179" i="1"/>
  <c r="G178" i="1"/>
  <c r="P178" i="1" s="1"/>
  <c r="N177" i="1"/>
  <c r="M177" i="1"/>
  <c r="K177" i="1"/>
  <c r="I177" i="1"/>
  <c r="Q177" i="1"/>
  <c r="O177" i="1"/>
  <c r="Q178" i="1" l="1"/>
  <c r="I178" i="1"/>
  <c r="M178" i="1"/>
  <c r="K178" i="1"/>
  <c r="O178" i="1"/>
  <c r="N178" i="1"/>
  <c r="H178" i="1"/>
  <c r="G179" i="1"/>
  <c r="P179" i="1" s="1"/>
  <c r="F180" i="1"/>
  <c r="H179" i="1" l="1"/>
  <c r="F181" i="1"/>
  <c r="G180" i="1"/>
  <c r="P180" i="1" s="1"/>
  <c r="N179" i="1"/>
  <c r="M179" i="1"/>
  <c r="K179" i="1"/>
  <c r="I179" i="1"/>
  <c r="O179" i="1"/>
  <c r="Q179" i="1"/>
  <c r="Q180" i="1" l="1"/>
  <c r="I180" i="1"/>
  <c r="N180" i="1"/>
  <c r="M180" i="1"/>
  <c r="K180" i="1"/>
  <c r="O180" i="1"/>
  <c r="H180" i="1"/>
  <c r="G181" i="1"/>
  <c r="P181" i="1" s="1"/>
  <c r="F182" i="1"/>
  <c r="H181" i="1" l="1"/>
  <c r="F183" i="1"/>
  <c r="G182" i="1"/>
  <c r="P182" i="1" s="1"/>
  <c r="N181" i="1"/>
  <c r="M181" i="1"/>
  <c r="O181" i="1"/>
  <c r="K181" i="1"/>
  <c r="I181" i="1"/>
  <c r="Q181" i="1"/>
  <c r="Q182" i="1" l="1"/>
  <c r="I182" i="1"/>
  <c r="O182" i="1"/>
  <c r="N182" i="1"/>
  <c r="M182" i="1"/>
  <c r="K182" i="1"/>
  <c r="H182" i="1"/>
  <c r="F184" i="1"/>
  <c r="G183" i="1"/>
  <c r="P183" i="1" s="1"/>
  <c r="H183" i="1" l="1"/>
  <c r="N183" i="1"/>
  <c r="M183" i="1"/>
  <c r="Q183" i="1"/>
  <c r="O183" i="1"/>
  <c r="K183" i="1"/>
  <c r="I183" i="1"/>
  <c r="F185" i="1"/>
  <c r="G184" i="1"/>
  <c r="Q184" i="1" l="1"/>
  <c r="I184" i="1"/>
  <c r="O184" i="1"/>
  <c r="N184" i="1"/>
  <c r="M184" i="1"/>
  <c r="K184" i="1"/>
  <c r="H184" i="1"/>
  <c r="P184" i="1"/>
  <c r="F186" i="1"/>
  <c r="G185" i="1"/>
  <c r="P185" i="1" s="1"/>
  <c r="F187" i="1" l="1"/>
  <c r="G186" i="1"/>
  <c r="H186" i="1" s="1"/>
  <c r="H185" i="1"/>
  <c r="N185" i="1"/>
  <c r="M185" i="1"/>
  <c r="Q185" i="1"/>
  <c r="O185" i="1"/>
  <c r="K185" i="1"/>
  <c r="I185" i="1"/>
  <c r="Q186" i="1" l="1"/>
  <c r="I186" i="1"/>
  <c r="O186" i="1"/>
  <c r="N186" i="1"/>
  <c r="M186" i="1"/>
  <c r="K186" i="1"/>
  <c r="P186" i="1"/>
  <c r="P187" i="1"/>
  <c r="H187" i="1"/>
  <c r="G187" i="1"/>
  <c r="F188" i="1"/>
  <c r="F189" i="1" l="1"/>
  <c r="G188" i="1"/>
  <c r="P188" i="1"/>
  <c r="H188" i="1"/>
  <c r="N187" i="1"/>
  <c r="M187" i="1"/>
  <c r="Q187" i="1"/>
  <c r="O187" i="1"/>
  <c r="L187" i="1"/>
  <c r="K187" i="1"/>
  <c r="J187" i="1"/>
  <c r="I187" i="1"/>
  <c r="L188" i="1" l="1"/>
  <c r="J188" i="1"/>
  <c r="Q188" i="1"/>
  <c r="I188" i="1"/>
  <c r="O188" i="1"/>
  <c r="N188" i="1"/>
  <c r="M188" i="1"/>
  <c r="K188" i="1"/>
  <c r="P189" i="1"/>
  <c r="H189" i="1"/>
  <c r="G189" i="1"/>
  <c r="F190" i="1"/>
  <c r="F191" i="1" l="1"/>
  <c r="H190" i="1"/>
  <c r="G190" i="1"/>
  <c r="P190" i="1"/>
  <c r="N189" i="1"/>
  <c r="M189" i="1"/>
  <c r="I189" i="1"/>
  <c r="Q189" i="1"/>
  <c r="O189" i="1"/>
  <c r="L189" i="1"/>
  <c r="J189" i="1"/>
  <c r="K189" i="1"/>
  <c r="L190" i="1" l="1"/>
  <c r="J190" i="1"/>
  <c r="Q190" i="1"/>
  <c r="I190" i="1"/>
  <c r="O190" i="1"/>
  <c r="N190" i="1"/>
  <c r="K190" i="1"/>
  <c r="M190" i="1"/>
  <c r="P191" i="1"/>
  <c r="H191" i="1"/>
  <c r="G191" i="1"/>
  <c r="F192" i="1"/>
  <c r="F193" i="1" l="1"/>
  <c r="H192" i="1"/>
  <c r="G192" i="1"/>
  <c r="P192" i="1"/>
  <c r="N191" i="1"/>
  <c r="M191" i="1"/>
  <c r="J191" i="1"/>
  <c r="I191" i="1"/>
  <c r="Q191" i="1"/>
  <c r="O191" i="1"/>
  <c r="L191" i="1"/>
  <c r="K191" i="1"/>
  <c r="L192" i="1" l="1"/>
  <c r="J192" i="1"/>
  <c r="Q192" i="1"/>
  <c r="I192" i="1"/>
  <c r="K192" i="1"/>
  <c r="O192" i="1"/>
  <c r="M192" i="1"/>
  <c r="N192" i="1"/>
  <c r="P193" i="1"/>
  <c r="H193" i="1"/>
  <c r="G193" i="1"/>
  <c r="F194" i="1"/>
  <c r="F195" i="1" l="1"/>
  <c r="H194" i="1"/>
  <c r="G194" i="1"/>
  <c r="P194" i="1"/>
  <c r="N193" i="1"/>
  <c r="M193" i="1"/>
  <c r="K193" i="1"/>
  <c r="J193" i="1"/>
  <c r="I193" i="1"/>
  <c r="Q193" i="1"/>
  <c r="L193" i="1"/>
  <c r="O193" i="1"/>
  <c r="L194" i="1" l="1"/>
  <c r="J194" i="1"/>
  <c r="Q194" i="1"/>
  <c r="I194" i="1"/>
  <c r="M194" i="1"/>
  <c r="K194" i="1"/>
  <c r="O194" i="1"/>
  <c r="N194" i="1"/>
  <c r="P195" i="1"/>
  <c r="H195" i="1"/>
  <c r="G195" i="1"/>
  <c r="F196" i="1"/>
  <c r="F197" i="1" l="1"/>
  <c r="H196" i="1"/>
  <c r="G196" i="1"/>
  <c r="P196" i="1"/>
  <c r="N195" i="1"/>
  <c r="M195" i="1"/>
  <c r="L195" i="1"/>
  <c r="K195" i="1"/>
  <c r="J195" i="1"/>
  <c r="I195" i="1"/>
  <c r="Q195" i="1"/>
  <c r="O195" i="1"/>
  <c r="L196" i="1" l="1"/>
  <c r="J196" i="1"/>
  <c r="Q196" i="1"/>
  <c r="I196" i="1"/>
  <c r="N196" i="1"/>
  <c r="M196" i="1"/>
  <c r="K196" i="1"/>
  <c r="O196" i="1"/>
  <c r="P197" i="1"/>
  <c r="H197" i="1"/>
  <c r="G197" i="1"/>
  <c r="F198" i="1"/>
  <c r="N197" i="1" l="1"/>
  <c r="M197" i="1"/>
  <c r="O197" i="1"/>
  <c r="L197" i="1"/>
  <c r="K197" i="1"/>
  <c r="J197" i="1"/>
  <c r="I197" i="1"/>
  <c r="Q197" i="1"/>
  <c r="F199" i="1"/>
  <c r="H198" i="1"/>
  <c r="G198" i="1"/>
  <c r="P198" i="1"/>
  <c r="L198" i="1" l="1"/>
  <c r="J198" i="1"/>
  <c r="Q198" i="1"/>
  <c r="I198" i="1"/>
  <c r="O198" i="1"/>
  <c r="N198" i="1"/>
  <c r="M198" i="1"/>
  <c r="K198" i="1"/>
  <c r="P199" i="1"/>
  <c r="H199" i="1"/>
  <c r="F200" i="1"/>
  <c r="G199" i="1"/>
  <c r="F201" i="1" l="1"/>
  <c r="P200" i="1"/>
  <c r="H200" i="1"/>
  <c r="G200" i="1"/>
  <c r="N199" i="1"/>
  <c r="M199" i="1"/>
  <c r="Q199" i="1"/>
  <c r="O199" i="1"/>
  <c r="L199" i="1"/>
  <c r="K199" i="1"/>
  <c r="J199" i="1"/>
  <c r="I199" i="1"/>
  <c r="L200" i="1" l="1"/>
  <c r="J200" i="1"/>
  <c r="Q200" i="1"/>
  <c r="I200" i="1"/>
  <c r="O200" i="1"/>
  <c r="N200" i="1"/>
  <c r="M200" i="1"/>
  <c r="K200" i="1"/>
  <c r="P201" i="1"/>
  <c r="H201" i="1"/>
  <c r="F202" i="1"/>
  <c r="G201" i="1"/>
  <c r="N201" i="1" l="1"/>
  <c r="M201" i="1"/>
  <c r="Q201" i="1"/>
  <c r="O201" i="1"/>
  <c r="L201" i="1"/>
  <c r="K201" i="1"/>
  <c r="J201" i="1"/>
  <c r="I201" i="1"/>
  <c r="F203" i="1"/>
  <c r="P202" i="1"/>
  <c r="G202" i="1"/>
  <c r="H202" i="1"/>
  <c r="L202" i="1" l="1"/>
  <c r="J202" i="1"/>
  <c r="Q202" i="1"/>
  <c r="I202" i="1"/>
  <c r="O202" i="1"/>
  <c r="N202" i="1"/>
  <c r="M202" i="1"/>
  <c r="K202" i="1"/>
  <c r="P203" i="1"/>
  <c r="H203" i="1"/>
  <c r="G203" i="1"/>
  <c r="F204" i="1"/>
  <c r="N203" i="1" l="1"/>
  <c r="M203" i="1"/>
  <c r="Q203" i="1"/>
  <c r="O203" i="1"/>
  <c r="L203" i="1"/>
  <c r="K203" i="1"/>
  <c r="I203" i="1"/>
  <c r="J203" i="1"/>
  <c r="F205" i="1"/>
  <c r="G204" i="1"/>
  <c r="P204" i="1"/>
  <c r="H204" i="1"/>
  <c r="L204" i="1" l="1"/>
  <c r="J204" i="1"/>
  <c r="Q204" i="1"/>
  <c r="I204" i="1"/>
  <c r="O204" i="1"/>
  <c r="N204" i="1"/>
  <c r="M204" i="1"/>
  <c r="K204" i="1"/>
  <c r="P205" i="1"/>
  <c r="H205" i="1"/>
  <c r="G205" i="1"/>
  <c r="F206" i="1"/>
  <c r="N205" i="1" l="1"/>
  <c r="M205" i="1"/>
  <c r="I205" i="1"/>
  <c r="Q205" i="1"/>
  <c r="O205" i="1"/>
  <c r="L205" i="1"/>
  <c r="K205" i="1"/>
  <c r="J205" i="1"/>
  <c r="F207" i="1"/>
  <c r="H206" i="1"/>
  <c r="G206" i="1"/>
  <c r="P206" i="1"/>
  <c r="L206" i="1" l="1"/>
  <c r="J206" i="1"/>
  <c r="Q206" i="1"/>
  <c r="I206" i="1"/>
  <c r="O206" i="1"/>
  <c r="N206" i="1"/>
  <c r="K206" i="1"/>
  <c r="M206" i="1"/>
  <c r="P207" i="1"/>
  <c r="H207" i="1"/>
  <c r="G207" i="1"/>
  <c r="F208" i="1"/>
  <c r="N207" i="1" l="1"/>
  <c r="M207" i="1"/>
  <c r="J207" i="1"/>
  <c r="I207" i="1"/>
  <c r="Q207" i="1"/>
  <c r="O207" i="1"/>
  <c r="K207" i="1"/>
  <c r="L207" i="1"/>
  <c r="F209" i="1"/>
  <c r="H208" i="1"/>
  <c r="G208" i="1"/>
  <c r="P208" i="1"/>
  <c r="L208" i="1" l="1"/>
  <c r="J208" i="1"/>
  <c r="Q208" i="1"/>
  <c r="I208" i="1"/>
  <c r="K208" i="1"/>
  <c r="O208" i="1"/>
  <c r="N208" i="1"/>
  <c r="M208" i="1"/>
  <c r="P209" i="1"/>
  <c r="H209" i="1"/>
  <c r="G209" i="1"/>
  <c r="F210" i="1"/>
  <c r="F211" i="1" l="1"/>
  <c r="H210" i="1"/>
  <c r="G210" i="1"/>
  <c r="P210" i="1"/>
  <c r="N209" i="1"/>
  <c r="M209" i="1"/>
  <c r="K209" i="1"/>
  <c r="J209" i="1"/>
  <c r="I209" i="1"/>
  <c r="Q209" i="1"/>
  <c r="L209" i="1"/>
  <c r="O209" i="1"/>
  <c r="L210" i="1" l="1"/>
  <c r="J210" i="1"/>
  <c r="Q210" i="1"/>
  <c r="I210" i="1"/>
  <c r="M210" i="1"/>
  <c r="K210" i="1"/>
  <c r="N210" i="1"/>
  <c r="O210" i="1"/>
  <c r="P211" i="1"/>
  <c r="H211" i="1"/>
  <c r="G211" i="1"/>
  <c r="F212" i="1"/>
  <c r="F213" i="1" l="1"/>
  <c r="H212" i="1"/>
  <c r="G212" i="1"/>
  <c r="P212" i="1"/>
  <c r="N211" i="1"/>
  <c r="M211" i="1"/>
  <c r="L211" i="1"/>
  <c r="K211" i="1"/>
  <c r="J211" i="1"/>
  <c r="I211" i="1"/>
  <c r="O211" i="1"/>
  <c r="Q211" i="1"/>
  <c r="L212" i="1" l="1"/>
  <c r="J212" i="1"/>
  <c r="Q212" i="1"/>
  <c r="I212" i="1"/>
  <c r="N212" i="1"/>
  <c r="M212" i="1"/>
  <c r="K212" i="1"/>
  <c r="O212" i="1"/>
  <c r="P213" i="1"/>
  <c r="H213" i="1"/>
  <c r="G213" i="1"/>
  <c r="F214" i="1"/>
  <c r="F215" i="1" l="1"/>
  <c r="H214" i="1"/>
  <c r="G214" i="1"/>
  <c r="P214" i="1"/>
  <c r="N213" i="1"/>
  <c r="M213" i="1"/>
  <c r="O213" i="1"/>
  <c r="L213" i="1"/>
  <c r="K213" i="1"/>
  <c r="J213" i="1"/>
  <c r="I213" i="1"/>
  <c r="Q213" i="1"/>
  <c r="L214" i="1" l="1"/>
  <c r="J214" i="1"/>
  <c r="Q214" i="1"/>
  <c r="I214" i="1"/>
  <c r="O214" i="1"/>
  <c r="N214" i="1"/>
  <c r="M214" i="1"/>
  <c r="K214" i="1"/>
  <c r="P215" i="1"/>
  <c r="H215" i="1"/>
  <c r="F216" i="1"/>
  <c r="G215" i="1"/>
  <c r="N215" i="1" l="1"/>
  <c r="M215" i="1"/>
  <c r="Q215" i="1"/>
  <c r="O215" i="1"/>
  <c r="L215" i="1"/>
  <c r="K215" i="1"/>
  <c r="J215" i="1"/>
  <c r="I215" i="1"/>
  <c r="F217" i="1"/>
  <c r="P216" i="1"/>
  <c r="H216" i="1"/>
  <c r="G216" i="1"/>
  <c r="L216" i="1" l="1"/>
  <c r="J216" i="1"/>
  <c r="Q216" i="1"/>
  <c r="I216" i="1"/>
  <c r="O216" i="1"/>
  <c r="N216" i="1"/>
  <c r="M216" i="1"/>
  <c r="K216" i="1"/>
  <c r="P217" i="1"/>
  <c r="P10" i="1" s="1"/>
  <c r="P11" i="1" s="1"/>
  <c r="H217" i="1"/>
  <c r="G217" i="1"/>
  <c r="I10" i="1"/>
  <c r="I11" i="1" s="1"/>
  <c r="N217" i="1" l="1"/>
  <c r="N10" i="1" s="1"/>
  <c r="N11" i="1" s="1"/>
  <c r="M217" i="1"/>
  <c r="M10" i="1" s="1"/>
  <c r="M11" i="1" s="1"/>
  <c r="Q217" i="1"/>
  <c r="Q10" i="1" s="1"/>
  <c r="Q11" i="1" s="1"/>
  <c r="O217" i="1"/>
  <c r="O10" i="1" s="1"/>
  <c r="O11" i="1" s="1"/>
  <c r="L217" i="1"/>
  <c r="K217" i="1"/>
  <c r="K10" i="1" s="1"/>
  <c r="K11" i="1" s="1"/>
  <c r="J217" i="1"/>
  <c r="I217" i="1"/>
  <c r="J138" i="7" l="1"/>
  <c r="BP148" i="5"/>
  <c r="CH148" i="5"/>
  <c r="L170" i="1"/>
  <c r="J70" i="7"/>
  <c r="BP80" i="5"/>
  <c r="BR80" i="5" s="1"/>
  <c r="K70" i="7" s="1"/>
  <c r="BT80" i="5"/>
  <c r="BU80" i="5" s="1"/>
  <c r="CH80" i="5"/>
  <c r="L102" i="1"/>
  <c r="J11" i="7"/>
  <c r="BP21" i="5"/>
  <c r="CH21" i="5"/>
  <c r="L43" i="1"/>
  <c r="J15" i="7"/>
  <c r="BP25" i="5"/>
  <c r="CH25" i="5"/>
  <c r="L47" i="1"/>
  <c r="J112" i="7"/>
  <c r="BP122" i="5"/>
  <c r="BV122" i="5"/>
  <c r="BW122" i="5" s="1"/>
  <c r="CH122" i="5"/>
  <c r="L144" i="1"/>
  <c r="J152" i="7"/>
  <c r="BP162" i="5"/>
  <c r="CH162" i="5"/>
  <c r="L184" i="1"/>
  <c r="J50" i="7"/>
  <c r="BP60" i="5"/>
  <c r="CH60" i="5"/>
  <c r="L82" i="1"/>
  <c r="J144" i="7"/>
  <c r="BP154" i="5"/>
  <c r="CH154" i="5"/>
  <c r="L176" i="1"/>
  <c r="J149" i="7"/>
  <c r="BP159" i="5"/>
  <c r="BV159" i="5"/>
  <c r="BW159" i="5" s="1"/>
  <c r="CH159" i="5"/>
  <c r="L181" i="1"/>
  <c r="J85" i="7"/>
  <c r="BP95" i="5"/>
  <c r="CH95" i="5"/>
  <c r="L117" i="1"/>
  <c r="J62" i="7"/>
  <c r="BP72" i="5"/>
  <c r="CH72" i="5"/>
  <c r="L94" i="1"/>
  <c r="J7" i="7"/>
  <c r="BP17" i="5"/>
  <c r="C54" i="2"/>
  <c r="CH17" i="5"/>
  <c r="L39" i="1"/>
  <c r="J90" i="7"/>
  <c r="BP100" i="5"/>
  <c r="BR100" i="5" s="1"/>
  <c r="K90" i="7" s="1"/>
  <c r="BT100" i="5"/>
  <c r="BU100" i="5" s="1"/>
  <c r="CH100" i="5"/>
  <c r="L122" i="1"/>
  <c r="J27" i="7"/>
  <c r="BP37" i="5"/>
  <c r="CH37" i="5"/>
  <c r="L59" i="1"/>
  <c r="J56" i="7"/>
  <c r="BP66" i="5"/>
  <c r="CH66" i="5"/>
  <c r="L88" i="1"/>
  <c r="J128" i="7"/>
  <c r="BP138" i="5"/>
  <c r="CH138" i="5"/>
  <c r="BV138" i="5"/>
  <c r="BW138" i="5" s="1"/>
  <c r="L160" i="1"/>
  <c r="J129" i="7"/>
  <c r="BP139" i="5"/>
  <c r="CH139" i="5"/>
  <c r="L161" i="1"/>
  <c r="J44" i="7"/>
  <c r="BP54" i="5"/>
  <c r="BR54" i="5" s="1"/>
  <c r="K44" i="7" s="1"/>
  <c r="BT54" i="5"/>
  <c r="BU54" i="5" s="1"/>
  <c r="CH54" i="5"/>
  <c r="L76" i="1"/>
  <c r="J18" i="7"/>
  <c r="BP28" i="5"/>
  <c r="CH28" i="5"/>
  <c r="L50" i="1"/>
  <c r="J113" i="7"/>
  <c r="BP123" i="5"/>
  <c r="CH123" i="5"/>
  <c r="L145" i="1"/>
  <c r="J122" i="7"/>
  <c r="BP132" i="5"/>
  <c r="BR132" i="5" s="1"/>
  <c r="K122" i="7" s="1"/>
  <c r="BT132" i="5"/>
  <c r="BU132" i="5" s="1"/>
  <c r="CH132" i="5"/>
  <c r="L154" i="1"/>
  <c r="J84" i="7"/>
  <c r="BP94" i="5"/>
  <c r="CH94" i="5"/>
  <c r="L116" i="1"/>
  <c r="J77" i="7"/>
  <c r="BP87" i="5"/>
  <c r="BV87" i="5"/>
  <c r="BW87" i="5" s="1"/>
  <c r="CH87" i="5"/>
  <c r="L109" i="1"/>
  <c r="J81" i="7"/>
  <c r="BP91" i="5"/>
  <c r="BV91" i="5"/>
  <c r="BW91" i="5" s="1"/>
  <c r="CH91" i="5"/>
  <c r="L113" i="1"/>
  <c r="J72" i="7"/>
  <c r="BP82" i="5"/>
  <c r="BV82" i="5"/>
  <c r="BW82" i="5" s="1"/>
  <c r="CH82" i="5"/>
  <c r="L104" i="1"/>
  <c r="J101" i="7"/>
  <c r="BP111" i="5"/>
  <c r="CH111" i="5"/>
  <c r="L133" i="1"/>
  <c r="J150" i="7"/>
  <c r="BP160" i="5"/>
  <c r="CH160" i="5"/>
  <c r="L182" i="1"/>
  <c r="J47" i="7"/>
  <c r="BP57" i="5"/>
  <c r="CH57" i="5"/>
  <c r="L79" i="1"/>
  <c r="J9" i="7"/>
  <c r="BP19" i="5"/>
  <c r="CH19" i="5"/>
  <c r="L41" i="1"/>
  <c r="J80" i="7"/>
  <c r="BP90" i="5"/>
  <c r="CH90" i="5"/>
  <c r="L112" i="1"/>
  <c r="J16" i="7"/>
  <c r="BP26" i="5"/>
  <c r="BL8" i="5"/>
  <c r="BT26" i="5"/>
  <c r="L48" i="1"/>
  <c r="CH26" i="5"/>
  <c r="J93" i="7"/>
  <c r="BP103" i="5"/>
  <c r="CH103" i="5"/>
  <c r="L125" i="1"/>
  <c r="J54" i="7"/>
  <c r="BP64" i="5"/>
  <c r="BR64" i="5" s="1"/>
  <c r="K54" i="7" s="1"/>
  <c r="BT64" i="5"/>
  <c r="BU64" i="5" s="1"/>
  <c r="CH64" i="5"/>
  <c r="L86" i="1"/>
  <c r="J49" i="7"/>
  <c r="BP59" i="5"/>
  <c r="CH59" i="5"/>
  <c r="L81" i="1"/>
  <c r="J58" i="7"/>
  <c r="BP68" i="5"/>
  <c r="CH68" i="5"/>
  <c r="L90" i="1"/>
  <c r="J103" i="7"/>
  <c r="BP113" i="5"/>
  <c r="BR113" i="5" s="1"/>
  <c r="K103" i="7" s="1"/>
  <c r="BT113" i="5"/>
  <c r="BU113" i="5" s="1"/>
  <c r="CH113" i="5"/>
  <c r="L135" i="1"/>
  <c r="J87" i="7"/>
  <c r="BP97" i="5"/>
  <c r="CH97" i="5"/>
  <c r="L119" i="1"/>
  <c r="J106" i="7"/>
  <c r="BP116" i="5"/>
  <c r="CH116" i="5"/>
  <c r="L138" i="1"/>
  <c r="J88" i="7"/>
  <c r="BP98" i="5"/>
  <c r="CH98" i="5"/>
  <c r="L120" i="1"/>
  <c r="J137" i="7"/>
  <c r="BP147" i="5"/>
  <c r="CH147" i="5"/>
  <c r="L169" i="1"/>
  <c r="J45" i="7"/>
  <c r="BP55" i="5"/>
  <c r="CH55" i="5"/>
  <c r="L77" i="1"/>
  <c r="J28" i="7"/>
  <c r="BP38" i="5"/>
  <c r="CH38" i="5"/>
  <c r="L60" i="1"/>
  <c r="J39" i="7"/>
  <c r="BP49" i="5"/>
  <c r="CH49" i="5"/>
  <c r="L71" i="1"/>
  <c r="J78" i="7"/>
  <c r="BP88" i="5"/>
  <c r="CH88" i="5"/>
  <c r="L110" i="1"/>
  <c r="J20" i="7"/>
  <c r="BP30" i="5"/>
  <c r="CH30" i="5"/>
  <c r="L52" i="1"/>
  <c r="J17" i="7"/>
  <c r="BP27" i="5"/>
  <c r="CH27" i="5"/>
  <c r="L49" i="1"/>
  <c r="J43" i="7"/>
  <c r="BP53" i="5"/>
  <c r="BV53" i="5"/>
  <c r="BW53" i="5" s="1"/>
  <c r="CH53" i="5"/>
  <c r="L75" i="1"/>
  <c r="J143" i="7"/>
  <c r="BP153" i="5"/>
  <c r="CH153" i="5"/>
  <c r="BV153" i="5"/>
  <c r="BW153" i="5" s="1"/>
  <c r="L175" i="1"/>
  <c r="J14" i="7"/>
  <c r="BP24" i="5"/>
  <c r="CH24" i="5"/>
  <c r="L46" i="1"/>
  <c r="J102" i="7"/>
  <c r="BP112" i="5"/>
  <c r="BR112" i="5" s="1"/>
  <c r="K102" i="7" s="1"/>
  <c r="BT112" i="5"/>
  <c r="BU112" i="5" s="1"/>
  <c r="CH112" i="5"/>
  <c r="L134" i="1"/>
  <c r="J42" i="7"/>
  <c r="BP52" i="5"/>
  <c r="BV52" i="5"/>
  <c r="BW52" i="5" s="1"/>
  <c r="CH52" i="5"/>
  <c r="L74" i="1"/>
  <c r="J105" i="7"/>
  <c r="BP115" i="5"/>
  <c r="CH115" i="5"/>
  <c r="L137" i="1"/>
  <c r="J67" i="7"/>
  <c r="BP77" i="5"/>
  <c r="BV77" i="5"/>
  <c r="BW77" i="5" s="1"/>
  <c r="CH77" i="5"/>
  <c r="L99" i="1"/>
  <c r="J141" i="7"/>
  <c r="BP151" i="5"/>
  <c r="CH151" i="5"/>
  <c r="BV151" i="5"/>
  <c r="BW151" i="5" s="1"/>
  <c r="L173" i="1"/>
  <c r="J55" i="7"/>
  <c r="BP65" i="5"/>
  <c r="BR65" i="5" s="1"/>
  <c r="K55" i="7" s="1"/>
  <c r="BT65" i="5"/>
  <c r="BU65" i="5" s="1"/>
  <c r="CH65" i="5"/>
  <c r="L87" i="1"/>
  <c r="J41" i="7"/>
  <c r="BP51" i="5"/>
  <c r="BR51" i="5" s="1"/>
  <c r="CH51" i="5"/>
  <c r="L73" i="1"/>
  <c r="J118" i="7"/>
  <c r="BP128" i="5"/>
  <c r="BV128" i="5"/>
  <c r="BW128" i="5" s="1"/>
  <c r="CH128" i="5"/>
  <c r="L150" i="1"/>
  <c r="J74" i="7"/>
  <c r="BP84" i="5"/>
  <c r="BR84" i="5" s="1"/>
  <c r="K74" i="7" s="1"/>
  <c r="BT84" i="5"/>
  <c r="BU84" i="5" s="1"/>
  <c r="CH84" i="5"/>
  <c r="L106" i="1"/>
  <c r="J57" i="7"/>
  <c r="BP67" i="5"/>
  <c r="CH67" i="5"/>
  <c r="BV67" i="5"/>
  <c r="BW67" i="5" s="1"/>
  <c r="L89" i="1"/>
  <c r="J119" i="7"/>
  <c r="BP129" i="5"/>
  <c r="CH129" i="5"/>
  <c r="L151" i="1"/>
  <c r="J71" i="7"/>
  <c r="BP81" i="5"/>
  <c r="BR81" i="5" s="1"/>
  <c r="K71" i="7" s="1"/>
  <c r="BT81" i="5"/>
  <c r="BU81" i="5" s="1"/>
  <c r="CH81" i="5"/>
  <c r="L103" i="1"/>
  <c r="J135" i="7"/>
  <c r="BP145" i="5"/>
  <c r="CH145" i="5"/>
  <c r="L167" i="1"/>
  <c r="J79" i="7"/>
  <c r="BP89" i="5"/>
  <c r="BR89" i="5" s="1"/>
  <c r="K79" i="7" s="1"/>
  <c r="BT89" i="5"/>
  <c r="BU89" i="5" s="1"/>
  <c r="CH89" i="5"/>
  <c r="L111" i="1"/>
  <c r="J46" i="7"/>
  <c r="BP56" i="5"/>
  <c r="CH56" i="5"/>
  <c r="L78" i="1"/>
  <c r="J130" i="7"/>
  <c r="BP140" i="5"/>
  <c r="CH140" i="5"/>
  <c r="L162" i="1"/>
  <c r="J133" i="7"/>
  <c r="BP143" i="5"/>
  <c r="CH143" i="5"/>
  <c r="L165" i="1"/>
  <c r="J153" i="7"/>
  <c r="BP163" i="5"/>
  <c r="CH163" i="5"/>
  <c r="L185" i="1"/>
  <c r="J48" i="7"/>
  <c r="BP58" i="5"/>
  <c r="CH58" i="5"/>
  <c r="C50" i="2"/>
  <c r="L80" i="1"/>
  <c r="J19" i="7"/>
  <c r="BP29" i="5"/>
  <c r="CH29" i="5"/>
  <c r="L51" i="1"/>
  <c r="J12" i="7"/>
  <c r="BP22" i="5"/>
  <c r="L44" i="1"/>
  <c r="CH22" i="5"/>
  <c r="J51" i="7"/>
  <c r="BP61" i="5"/>
  <c r="BR61" i="5" s="1"/>
  <c r="K51" i="7" s="1"/>
  <c r="BT61" i="5"/>
  <c r="BU61" i="5" s="1"/>
  <c r="CH61" i="5"/>
  <c r="L83" i="1"/>
  <c r="J40" i="7"/>
  <c r="BP50" i="5"/>
  <c r="CH50" i="5"/>
  <c r="L72" i="1"/>
  <c r="J25" i="7"/>
  <c r="BP35" i="5"/>
  <c r="BR35" i="5" s="1"/>
  <c r="K25" i="7" s="1"/>
  <c r="BT35" i="5"/>
  <c r="BU35" i="5" s="1"/>
  <c r="L57" i="1"/>
  <c r="CH35" i="5"/>
  <c r="J6" i="7"/>
  <c r="BP16" i="5"/>
  <c r="BL7" i="5"/>
  <c r="C53" i="2"/>
  <c r="BV16" i="5"/>
  <c r="BW16" i="5" s="1"/>
  <c r="L38" i="1"/>
  <c r="CH16" i="5"/>
  <c r="J134" i="7"/>
  <c r="BP144" i="5"/>
  <c r="CH144" i="5"/>
  <c r="L166" i="1"/>
  <c r="J92" i="7"/>
  <c r="BP102" i="5"/>
  <c r="CH102" i="5"/>
  <c r="BV102" i="5"/>
  <c r="BW102" i="5" s="1"/>
  <c r="L124" i="1"/>
  <c r="J89" i="7"/>
  <c r="BP99" i="5"/>
  <c r="BR99" i="5" s="1"/>
  <c r="K89" i="7" s="1"/>
  <c r="CH99" i="5"/>
  <c r="L121" i="1"/>
  <c r="J36" i="7"/>
  <c r="BP46" i="5"/>
  <c r="CH46" i="5"/>
  <c r="L68" i="1"/>
  <c r="J21" i="7"/>
  <c r="BP31" i="5"/>
  <c r="CH31" i="5"/>
  <c r="L53" i="1"/>
  <c r="J117" i="7"/>
  <c r="BP127" i="5"/>
  <c r="CH127" i="5"/>
  <c r="L149" i="1"/>
  <c r="J146" i="7"/>
  <c r="BP156" i="5"/>
  <c r="CH156" i="5"/>
  <c r="L178" i="1"/>
  <c r="J69" i="7"/>
  <c r="BP79" i="5"/>
  <c r="BR79" i="5" s="1"/>
  <c r="K69" i="7" s="1"/>
  <c r="BT79" i="5"/>
  <c r="BU79" i="5" s="1"/>
  <c r="CH79" i="5"/>
  <c r="L101" i="1"/>
  <c r="J59" i="7"/>
  <c r="BP69" i="5"/>
  <c r="BL5" i="5"/>
  <c r="BL9" i="5" s="1"/>
  <c r="CH69" i="5"/>
  <c r="L91" i="1"/>
  <c r="J145" i="7"/>
  <c r="BP155" i="5"/>
  <c r="CH155" i="5"/>
  <c r="L177" i="1"/>
  <c r="J108" i="7"/>
  <c r="BP118" i="5"/>
  <c r="BR118" i="5" s="1"/>
  <c r="K108" i="7" s="1"/>
  <c r="BT118" i="5"/>
  <c r="BU118" i="5" s="1"/>
  <c r="CH118" i="5"/>
  <c r="L140" i="1"/>
  <c r="J114" i="7"/>
  <c r="BP124" i="5"/>
  <c r="CH124" i="5"/>
  <c r="L146" i="1"/>
  <c r="J132" i="7"/>
  <c r="BP142" i="5"/>
  <c r="CH142" i="5"/>
  <c r="L164" i="1"/>
  <c r="J95" i="7"/>
  <c r="BP105" i="5"/>
  <c r="CH105" i="5"/>
  <c r="L127" i="1"/>
  <c r="J116" i="7"/>
  <c r="BP126" i="5"/>
  <c r="CH126" i="5"/>
  <c r="L148" i="1"/>
  <c r="J104" i="7"/>
  <c r="BP114" i="5"/>
  <c r="BR114" i="5" s="1"/>
  <c r="K104" i="7" s="1"/>
  <c r="BT114" i="5"/>
  <c r="BU114" i="5" s="1"/>
  <c r="CH114" i="5"/>
  <c r="L136" i="1"/>
  <c r="J110" i="7"/>
  <c r="BP120" i="5"/>
  <c r="CH120" i="5"/>
  <c r="L142" i="1"/>
  <c r="J26" i="7"/>
  <c r="BP36" i="5"/>
  <c r="BR36" i="5" s="1"/>
  <c r="K26" i="7" s="1"/>
  <c r="BT36" i="5"/>
  <c r="BU36" i="5" s="1"/>
  <c r="L58" i="1"/>
  <c r="CH36" i="5"/>
  <c r="J52" i="7"/>
  <c r="BP62" i="5"/>
  <c r="BR62" i="5" s="1"/>
  <c r="K52" i="7" s="1"/>
  <c r="BT62" i="5"/>
  <c r="BU62" i="5" s="1"/>
  <c r="CH62" i="5"/>
  <c r="L84" i="1"/>
  <c r="J126" i="7"/>
  <c r="BP136" i="5"/>
  <c r="CH136" i="5"/>
  <c r="L158" i="1"/>
  <c r="J10" i="7"/>
  <c r="BP20" i="5"/>
  <c r="L42" i="1"/>
  <c r="CH20" i="5"/>
  <c r="J148" i="7"/>
  <c r="BP158" i="5"/>
  <c r="BR158" i="5" s="1"/>
  <c r="K148" i="7" s="1"/>
  <c r="BT158" i="5"/>
  <c r="BU158" i="5" s="1"/>
  <c r="CH158" i="5"/>
  <c r="L180" i="1"/>
  <c r="J76" i="7"/>
  <c r="BP86" i="5"/>
  <c r="BV86" i="5"/>
  <c r="BW86" i="5" s="1"/>
  <c r="CH86" i="5"/>
  <c r="L108" i="1"/>
  <c r="J75" i="7"/>
  <c r="BP85" i="5"/>
  <c r="BR85" i="5" s="1"/>
  <c r="K75" i="7" s="1"/>
  <c r="BT85" i="5"/>
  <c r="BU85" i="5" s="1"/>
  <c r="CH85" i="5"/>
  <c r="L107" i="1"/>
  <c r="J30" i="7"/>
  <c r="BP40" i="5"/>
  <c r="CH40" i="5"/>
  <c r="L62" i="1"/>
  <c r="J142" i="7"/>
  <c r="BP152" i="5"/>
  <c r="CH152" i="5"/>
  <c r="L174" i="1"/>
  <c r="J38" i="7"/>
  <c r="BP48" i="5"/>
  <c r="CH48" i="5"/>
  <c r="L70" i="1"/>
  <c r="J73" i="7"/>
  <c r="BP83" i="5"/>
  <c r="BR83" i="5" s="1"/>
  <c r="K73" i="7" s="1"/>
  <c r="CH83" i="5"/>
  <c r="L105" i="1"/>
  <c r="J99" i="7"/>
  <c r="BP109" i="5"/>
  <c r="CH109" i="5"/>
  <c r="L131" i="1"/>
  <c r="J65" i="7"/>
  <c r="BP75" i="5"/>
  <c r="BR75" i="5" s="1"/>
  <c r="K65" i="7" s="1"/>
  <c r="BT75" i="5"/>
  <c r="BU75" i="5" s="1"/>
  <c r="CH75" i="5"/>
  <c r="L97" i="1"/>
  <c r="J82" i="7"/>
  <c r="BP92" i="5"/>
  <c r="CH92" i="5"/>
  <c r="L114" i="1"/>
  <c r="J131" i="7"/>
  <c r="BP141" i="5"/>
  <c r="CH141" i="5"/>
  <c r="L163" i="1"/>
  <c r="J61" i="7"/>
  <c r="BP71" i="5"/>
  <c r="CH71" i="5"/>
  <c r="L93" i="1"/>
  <c r="J115" i="7"/>
  <c r="BP125" i="5"/>
  <c r="CH125" i="5"/>
  <c r="L147" i="1"/>
  <c r="J120" i="7"/>
  <c r="BP130" i="5"/>
  <c r="CH130" i="5"/>
  <c r="L152" i="1"/>
  <c r="J8" i="7"/>
  <c r="BP18" i="5"/>
  <c r="CH18" i="5"/>
  <c r="L40" i="1"/>
  <c r="J64" i="7"/>
  <c r="BP74" i="5"/>
  <c r="BR74" i="5" s="1"/>
  <c r="K64" i="7" s="1"/>
  <c r="CH74" i="5"/>
  <c r="L96" i="1"/>
  <c r="J91" i="7"/>
  <c r="BP101" i="5"/>
  <c r="BR101" i="5" s="1"/>
  <c r="K91" i="7" s="1"/>
  <c r="BT101" i="5"/>
  <c r="BU101" i="5" s="1"/>
  <c r="CH101" i="5"/>
  <c r="L123" i="1"/>
  <c r="J127" i="7"/>
  <c r="BP137" i="5"/>
  <c r="CH137" i="5"/>
  <c r="L159" i="1"/>
  <c r="J83" i="7"/>
  <c r="BP93" i="5"/>
  <c r="CH93" i="5"/>
  <c r="L115" i="1"/>
  <c r="J68" i="7"/>
  <c r="BP78" i="5"/>
  <c r="BR78" i="5" s="1"/>
  <c r="K68" i="7" s="1"/>
  <c r="BT78" i="5"/>
  <c r="BU78" i="5" s="1"/>
  <c r="CH78" i="5"/>
  <c r="L100" i="1"/>
  <c r="J66" i="7"/>
  <c r="BP76" i="5"/>
  <c r="CH76" i="5"/>
  <c r="L98" i="1"/>
  <c r="J123" i="7"/>
  <c r="BP133" i="5"/>
  <c r="CH133" i="5"/>
  <c r="L155" i="1"/>
  <c r="J32" i="7"/>
  <c r="BP42" i="5"/>
  <c r="CH42" i="5"/>
  <c r="L64" i="1"/>
  <c r="J97" i="7"/>
  <c r="BP107" i="5"/>
  <c r="CH107" i="5"/>
  <c r="L129" i="1"/>
  <c r="J139" i="7"/>
  <c r="BP149" i="5"/>
  <c r="CH149" i="5"/>
  <c r="L171" i="1"/>
  <c r="J136" i="7"/>
  <c r="BP146" i="5"/>
  <c r="CH146" i="5"/>
  <c r="L168" i="1"/>
  <c r="J154" i="7"/>
  <c r="BP164" i="5"/>
  <c r="CH164" i="5"/>
  <c r="BV164" i="5"/>
  <c r="BW164" i="5" s="1"/>
  <c r="L186" i="1"/>
  <c r="J140" i="7"/>
  <c r="BP150" i="5"/>
  <c r="CH150" i="5"/>
  <c r="L172" i="1"/>
  <c r="J33" i="7"/>
  <c r="BP43" i="5"/>
  <c r="BV43" i="5"/>
  <c r="BW43" i="5" s="1"/>
  <c r="CH43" i="5"/>
  <c r="L65" i="1"/>
  <c r="J13" i="7"/>
  <c r="BP23" i="5"/>
  <c r="CH23" i="5"/>
  <c r="L45" i="1"/>
  <c r="J22" i="7"/>
  <c r="BP32" i="5"/>
  <c r="CH32" i="5"/>
  <c r="L54" i="1"/>
  <c r="J29" i="7"/>
  <c r="BP39" i="5"/>
  <c r="CH39" i="5"/>
  <c r="L61" i="1"/>
  <c r="J109" i="7"/>
  <c r="BP119" i="5"/>
  <c r="CH119" i="5"/>
  <c r="L141" i="1"/>
  <c r="J35" i="7"/>
  <c r="BP45" i="5"/>
  <c r="CH45" i="5"/>
  <c r="L67" i="1"/>
  <c r="J86" i="7"/>
  <c r="BP96" i="5"/>
  <c r="BR96" i="5" s="1"/>
  <c r="K86" i="7" s="1"/>
  <c r="CH96" i="5"/>
  <c r="L118" i="1"/>
  <c r="J100" i="7"/>
  <c r="BP110" i="5"/>
  <c r="BR110" i="5" s="1"/>
  <c r="K100" i="7" s="1"/>
  <c r="BT110" i="5"/>
  <c r="BU110" i="5" s="1"/>
  <c r="CH110" i="5"/>
  <c r="L132" i="1"/>
  <c r="J124" i="7"/>
  <c r="BP134" i="5"/>
  <c r="CH134" i="5"/>
  <c r="L156" i="1"/>
  <c r="J53" i="7"/>
  <c r="BP63" i="5"/>
  <c r="CH63" i="5"/>
  <c r="L85" i="1"/>
  <c r="J60" i="7"/>
  <c r="BP70" i="5"/>
  <c r="BV70" i="5"/>
  <c r="BW70" i="5" s="1"/>
  <c r="CH70" i="5"/>
  <c r="L92" i="1"/>
  <c r="J37" i="7"/>
  <c r="BP47" i="5"/>
  <c r="CH47" i="5"/>
  <c r="BV47" i="5"/>
  <c r="BW47" i="5" s="1"/>
  <c r="L69" i="1"/>
  <c r="J151" i="7"/>
  <c r="BP161" i="5"/>
  <c r="CH161" i="5"/>
  <c r="L183" i="1"/>
  <c r="J24" i="7"/>
  <c r="BP34" i="5"/>
  <c r="CH34" i="5"/>
  <c r="L56" i="1"/>
  <c r="J125" i="7"/>
  <c r="BP135" i="5"/>
  <c r="BV135" i="5"/>
  <c r="BW135" i="5" s="1"/>
  <c r="CH135" i="5"/>
  <c r="L157" i="1"/>
  <c r="J96" i="7"/>
  <c r="BP106" i="5"/>
  <c r="CH106" i="5"/>
  <c r="L128" i="1"/>
  <c r="J121" i="7"/>
  <c r="BP131" i="5"/>
  <c r="BV131" i="5"/>
  <c r="BW131" i="5" s="1"/>
  <c r="CH131" i="5"/>
  <c r="L153" i="1"/>
  <c r="J98" i="7"/>
  <c r="BP108" i="5"/>
  <c r="BR108" i="5" s="1"/>
  <c r="K98" i="7" s="1"/>
  <c r="CH108" i="5"/>
  <c r="L130" i="1"/>
  <c r="J107" i="7"/>
  <c r="BP117" i="5"/>
  <c r="CH117" i="5"/>
  <c r="L139" i="1"/>
  <c r="J34" i="7"/>
  <c r="BP44" i="5"/>
  <c r="BV44" i="5"/>
  <c r="BW44" i="5" s="1"/>
  <c r="CH44" i="5"/>
  <c r="L66" i="1"/>
  <c r="J94" i="7"/>
  <c r="BP104" i="5"/>
  <c r="BR104" i="5" s="1"/>
  <c r="K94" i="7" s="1"/>
  <c r="BT104" i="5"/>
  <c r="BU104" i="5" s="1"/>
  <c r="CH104" i="5"/>
  <c r="L126" i="1"/>
  <c r="J147" i="7"/>
  <c r="BP157" i="5"/>
  <c r="CH157" i="5"/>
  <c r="L179" i="1"/>
  <c r="J23" i="7"/>
  <c r="BP33" i="5"/>
  <c r="L55" i="1"/>
  <c r="CH33" i="5"/>
  <c r="J31" i="7"/>
  <c r="BP41" i="5"/>
  <c r="CH41" i="5"/>
  <c r="L63" i="1"/>
  <c r="J111" i="7"/>
  <c r="BP121" i="5"/>
  <c r="CH121" i="5"/>
  <c r="L143" i="1"/>
  <c r="J63" i="7"/>
  <c r="BP73" i="5"/>
  <c r="BR73" i="5" s="1"/>
  <c r="K63" i="7" s="1"/>
  <c r="BT73" i="5"/>
  <c r="BU73" i="5" s="1"/>
  <c r="CH73" i="5"/>
  <c r="L95" i="1"/>
  <c r="L37" i="7" l="1"/>
  <c r="J69" i="1"/>
  <c r="L154" i="7"/>
  <c r="J186" i="1"/>
  <c r="L139" i="7"/>
  <c r="J171" i="1"/>
  <c r="L32" i="7"/>
  <c r="J64" i="1"/>
  <c r="L66" i="7"/>
  <c r="J98" i="1"/>
  <c r="L76" i="7"/>
  <c r="J108" i="1"/>
  <c r="L104" i="7"/>
  <c r="J136" i="1"/>
  <c r="F53" i="2"/>
  <c r="D63" i="2"/>
  <c r="E63" i="2" s="1"/>
  <c r="J63" i="2" s="1"/>
  <c r="L153" i="7"/>
  <c r="J185" i="1"/>
  <c r="L130" i="7"/>
  <c r="J162" i="1"/>
  <c r="L79" i="7"/>
  <c r="J111" i="1"/>
  <c r="L67" i="7"/>
  <c r="J99" i="1"/>
  <c r="L143" i="7"/>
  <c r="J175" i="1"/>
  <c r="BT8" i="5"/>
  <c r="BT9" i="5" s="1"/>
  <c r="BU26" i="5"/>
  <c r="BU8" i="5" s="1"/>
  <c r="BU9" i="5" s="1"/>
  <c r="L56" i="7"/>
  <c r="J88" i="1"/>
  <c r="L90" i="7"/>
  <c r="J122" i="1"/>
  <c r="L15" i="7"/>
  <c r="J47" i="1"/>
  <c r="L70" i="7"/>
  <c r="J102" i="1"/>
  <c r="L110" i="7"/>
  <c r="J142" i="1"/>
  <c r="L107" i="7"/>
  <c r="J139" i="1"/>
  <c r="L121" i="7"/>
  <c r="J153" i="1"/>
  <c r="L53" i="7"/>
  <c r="J85" i="1"/>
  <c r="L100" i="7"/>
  <c r="J132" i="1"/>
  <c r="L83" i="7"/>
  <c r="J115" i="1"/>
  <c r="L91" i="7"/>
  <c r="J123" i="1"/>
  <c r="L10" i="7"/>
  <c r="J42" i="1"/>
  <c r="L95" i="7"/>
  <c r="J127" i="1"/>
  <c r="L114" i="7"/>
  <c r="J146" i="1"/>
  <c r="BP5" i="5"/>
  <c r="L146" i="7"/>
  <c r="J178" i="1"/>
  <c r="L21" i="7"/>
  <c r="J53" i="1"/>
  <c r="L89" i="7"/>
  <c r="J121" i="1"/>
  <c r="L71" i="7"/>
  <c r="J103" i="1"/>
  <c r="C52" i="2"/>
  <c r="L42" i="7"/>
  <c r="J74" i="1"/>
  <c r="L17" i="7"/>
  <c r="E25" i="2"/>
  <c r="J49" i="1"/>
  <c r="L78" i="7"/>
  <c r="J110" i="1"/>
  <c r="L28" i="7"/>
  <c r="J60" i="1"/>
  <c r="L137" i="7"/>
  <c r="J169" i="1"/>
  <c r="L106" i="7"/>
  <c r="J138" i="1"/>
  <c r="L103" i="7"/>
  <c r="J135" i="1"/>
  <c r="L84" i="7"/>
  <c r="J116" i="1"/>
  <c r="L63" i="7"/>
  <c r="J95" i="1"/>
  <c r="L125" i="7"/>
  <c r="J157" i="1"/>
  <c r="L35" i="7"/>
  <c r="J67" i="1"/>
  <c r="L29" i="7"/>
  <c r="J61" i="1"/>
  <c r="L13" i="7"/>
  <c r="J45" i="1"/>
  <c r="L8" i="7"/>
  <c r="J40" i="1"/>
  <c r="L115" i="7"/>
  <c r="J147" i="1"/>
  <c r="L131" i="7"/>
  <c r="J163" i="1"/>
  <c r="L65" i="7"/>
  <c r="J97" i="1"/>
  <c r="L52" i="7"/>
  <c r="J84" i="1"/>
  <c r="L145" i="7"/>
  <c r="J177" i="1"/>
  <c r="L134" i="7"/>
  <c r="J166" i="1"/>
  <c r="BP7" i="5"/>
  <c r="BR3" i="5"/>
  <c r="L40" i="7"/>
  <c r="J72" i="1"/>
  <c r="L12" i="7"/>
  <c r="J44" i="1"/>
  <c r="L41" i="7"/>
  <c r="J73" i="1"/>
  <c r="L49" i="7"/>
  <c r="J81" i="1"/>
  <c r="L9" i="7"/>
  <c r="J41" i="1"/>
  <c r="L150" i="7"/>
  <c r="J182" i="1"/>
  <c r="L72" i="7"/>
  <c r="J104" i="1"/>
  <c r="L113" i="7"/>
  <c r="J145" i="1"/>
  <c r="L44" i="7"/>
  <c r="J76" i="1"/>
  <c r="L62" i="7"/>
  <c r="J94" i="1"/>
  <c r="L149" i="7"/>
  <c r="J181" i="1"/>
  <c r="L31" i="7"/>
  <c r="J63" i="1"/>
  <c r="L147" i="7"/>
  <c r="J179" i="1"/>
  <c r="L151" i="7"/>
  <c r="J183" i="1"/>
  <c r="L140" i="7"/>
  <c r="J172" i="1"/>
  <c r="L73" i="7"/>
  <c r="J105" i="1"/>
  <c r="L142" i="7"/>
  <c r="J174" i="1"/>
  <c r="L75" i="7"/>
  <c r="J107" i="1"/>
  <c r="D60" i="2"/>
  <c r="E60" i="2" s="1"/>
  <c r="J60" i="2" s="1"/>
  <c r="F50" i="2"/>
  <c r="L57" i="7"/>
  <c r="J89" i="1"/>
  <c r="K41" i="7"/>
  <c r="D52" i="2"/>
  <c r="G62" i="2" s="1"/>
  <c r="H62" i="2" s="1"/>
  <c r="L14" i="7"/>
  <c r="J46" i="1"/>
  <c r="L93" i="7"/>
  <c r="J125" i="1"/>
  <c r="BR26" i="5"/>
  <c r="BP8" i="5"/>
  <c r="L50" i="7"/>
  <c r="J82" i="1"/>
  <c r="L112" i="7"/>
  <c r="J144" i="1"/>
  <c r="L77" i="7"/>
  <c r="J109" i="1"/>
  <c r="L128" i="7"/>
  <c r="J160" i="1"/>
  <c r="L27" i="7"/>
  <c r="J59" i="1"/>
  <c r="L11" i="7"/>
  <c r="J43" i="1"/>
  <c r="L34" i="7"/>
  <c r="J66" i="1"/>
  <c r="L69" i="7"/>
  <c r="J101" i="1"/>
  <c r="L25" i="7"/>
  <c r="J57" i="1"/>
  <c r="L48" i="7"/>
  <c r="E35" i="2"/>
  <c r="J80" i="1"/>
  <c r="L133" i="7"/>
  <c r="J165" i="1"/>
  <c r="L46" i="7"/>
  <c r="J78" i="1"/>
  <c r="L118" i="7"/>
  <c r="J150" i="1"/>
  <c r="L98" i="7"/>
  <c r="J130" i="1"/>
  <c r="L124" i="7"/>
  <c r="J156" i="1"/>
  <c r="L127" i="7"/>
  <c r="J159" i="1"/>
  <c r="L148" i="7"/>
  <c r="J180" i="1"/>
  <c r="L116" i="7"/>
  <c r="J148" i="1"/>
  <c r="L132" i="7"/>
  <c r="J164" i="1"/>
  <c r="L108" i="7"/>
  <c r="J140" i="1"/>
  <c r="L117" i="7"/>
  <c r="J149" i="1"/>
  <c r="L36" i="7"/>
  <c r="J68" i="1"/>
  <c r="L6" i="7"/>
  <c r="E26" i="2"/>
  <c r="E21" i="2"/>
  <c r="CH7" i="5"/>
  <c r="E36" i="2"/>
  <c r="E30" i="2"/>
  <c r="J38" i="1"/>
  <c r="L135" i="7"/>
  <c r="J167" i="1"/>
  <c r="L105" i="7"/>
  <c r="J137" i="1"/>
  <c r="L20" i="7"/>
  <c r="J52" i="1"/>
  <c r="L39" i="7"/>
  <c r="J71" i="1"/>
  <c r="L45" i="7"/>
  <c r="J77" i="1"/>
  <c r="L88" i="7"/>
  <c r="J120" i="1"/>
  <c r="L87" i="7"/>
  <c r="J119" i="1"/>
  <c r="L122" i="7"/>
  <c r="J154" i="1"/>
  <c r="L7" i="7"/>
  <c r="E31" i="2"/>
  <c r="J39" i="1"/>
  <c r="L138" i="7"/>
  <c r="J170" i="1"/>
  <c r="L43" i="7"/>
  <c r="J75" i="1"/>
  <c r="L23" i="7"/>
  <c r="J55" i="1"/>
  <c r="L96" i="7"/>
  <c r="J128" i="1"/>
  <c r="L86" i="7"/>
  <c r="J118" i="1"/>
  <c r="L109" i="7"/>
  <c r="J141" i="1"/>
  <c r="L22" i="7"/>
  <c r="J54" i="1"/>
  <c r="L33" i="7"/>
  <c r="J65" i="1"/>
  <c r="L64" i="7"/>
  <c r="J96" i="1"/>
  <c r="L120" i="7"/>
  <c r="J152" i="1"/>
  <c r="L61" i="7"/>
  <c r="J93" i="1"/>
  <c r="L82" i="7"/>
  <c r="J114" i="1"/>
  <c r="L126" i="7"/>
  <c r="J158" i="1"/>
  <c r="L26" i="7"/>
  <c r="J58" i="1"/>
  <c r="L59" i="7"/>
  <c r="E19" i="2"/>
  <c r="CH5" i="5"/>
  <c r="J91" i="1"/>
  <c r="L92" i="7"/>
  <c r="J124" i="1"/>
  <c r="L10" i="1"/>
  <c r="L11" i="1" s="1"/>
  <c r="L51" i="7"/>
  <c r="J83" i="1"/>
  <c r="L119" i="7"/>
  <c r="J151" i="1"/>
  <c r="L55" i="7"/>
  <c r="J87" i="1"/>
  <c r="L102" i="7"/>
  <c r="J134" i="1"/>
  <c r="L58" i="7"/>
  <c r="J90" i="1"/>
  <c r="L54" i="7"/>
  <c r="J86" i="1"/>
  <c r="L16" i="7"/>
  <c r="CH8" i="5"/>
  <c r="J48" i="1"/>
  <c r="L80" i="7"/>
  <c r="J112" i="1"/>
  <c r="L47" i="7"/>
  <c r="J79" i="1"/>
  <c r="L101" i="7"/>
  <c r="J133" i="1"/>
  <c r="L18" i="7"/>
  <c r="J50" i="1"/>
  <c r="D64" i="2"/>
  <c r="E64" i="2" s="1"/>
  <c r="J64" i="2" s="1"/>
  <c r="F54" i="2"/>
  <c r="L85" i="7"/>
  <c r="J117" i="1"/>
  <c r="L60" i="7"/>
  <c r="J92" i="1"/>
  <c r="L136" i="7"/>
  <c r="J168" i="1"/>
  <c r="L97" i="7"/>
  <c r="J129" i="1"/>
  <c r="L123" i="7"/>
  <c r="J155" i="1"/>
  <c r="L68" i="7"/>
  <c r="J100" i="1"/>
  <c r="L141" i="7"/>
  <c r="J173" i="1"/>
  <c r="L111" i="7"/>
  <c r="J143" i="1"/>
  <c r="L94" i="7"/>
  <c r="J126" i="1"/>
  <c r="L24" i="7"/>
  <c r="J56" i="1"/>
  <c r="L99" i="7"/>
  <c r="J131" i="1"/>
  <c r="L38" i="7"/>
  <c r="J70" i="1"/>
  <c r="L30" i="7"/>
  <c r="J62" i="1"/>
  <c r="BW7" i="5"/>
  <c r="BW9" i="5" s="1"/>
  <c r="L19" i="7"/>
  <c r="J51" i="1"/>
  <c r="L74" i="7"/>
  <c r="J106" i="1"/>
  <c r="L81" i="7"/>
  <c r="J113" i="1"/>
  <c r="L129" i="7"/>
  <c r="J161" i="1"/>
  <c r="L144" i="7"/>
  <c r="J176" i="1"/>
  <c r="L152" i="7"/>
  <c r="J184" i="1"/>
  <c r="CH9" i="5" l="1"/>
  <c r="CI9" i="5" s="1"/>
  <c r="K16" i="7"/>
  <c r="BR8" i="5"/>
  <c r="D51" i="2"/>
  <c r="G61" i="2" s="1"/>
  <c r="H61" i="2" s="1"/>
  <c r="C51" i="2"/>
  <c r="BQ44" i="5"/>
  <c r="BQ30" i="5"/>
  <c r="BQ41" i="5"/>
  <c r="BQ40" i="5"/>
  <c r="BQ31" i="5"/>
  <c r="BQ37" i="5"/>
  <c r="BQ18" i="5"/>
  <c r="BQ22" i="5"/>
  <c r="BQ32" i="5"/>
  <c r="BQ35" i="5"/>
  <c r="BQ20" i="5"/>
  <c r="BQ34" i="5"/>
  <c r="BQ16" i="5"/>
  <c r="BQ42" i="5"/>
  <c r="BQ19" i="5"/>
  <c r="BQ23" i="5"/>
  <c r="BQ28" i="5"/>
  <c r="BQ27" i="5"/>
  <c r="BQ29" i="5"/>
  <c r="BQ36" i="5"/>
  <c r="BQ26" i="5"/>
  <c r="BQ33" i="5"/>
  <c r="BQ17" i="5"/>
  <c r="BQ24" i="5"/>
  <c r="BQ25" i="5"/>
  <c r="BQ39" i="5"/>
  <c r="BQ21" i="5"/>
  <c r="BQ38" i="5"/>
  <c r="BQ43" i="5"/>
  <c r="BQ47" i="5"/>
  <c r="BQ45" i="5"/>
  <c r="BQ48" i="5"/>
  <c r="BQ46" i="5"/>
  <c r="BQ49" i="5"/>
  <c r="BQ50" i="5"/>
  <c r="BQ53" i="5"/>
  <c r="BQ51" i="5"/>
  <c r="BQ52" i="5"/>
  <c r="BQ54" i="5"/>
  <c r="BQ56" i="5"/>
  <c r="BQ58" i="5"/>
  <c r="BQ55" i="5"/>
  <c r="BQ57" i="5"/>
  <c r="BQ59" i="5"/>
  <c r="BQ60" i="5"/>
  <c r="BQ62" i="5"/>
  <c r="BQ61" i="5"/>
  <c r="BQ65" i="5"/>
  <c r="BQ63" i="5"/>
  <c r="BQ64" i="5"/>
  <c r="BQ66" i="5"/>
  <c r="BQ68" i="5"/>
  <c r="BQ67" i="5"/>
  <c r="BQ70" i="5"/>
  <c r="BQ71" i="5"/>
  <c r="BQ73" i="5"/>
  <c r="BQ74" i="5"/>
  <c r="BQ75" i="5"/>
  <c r="BQ76" i="5"/>
  <c r="BQ79" i="5"/>
  <c r="BQ78" i="5"/>
  <c r="BQ77" i="5"/>
  <c r="BQ80" i="5"/>
  <c r="BQ81" i="5"/>
  <c r="BQ85" i="5"/>
  <c r="BQ82" i="5"/>
  <c r="BQ83" i="5"/>
  <c r="BQ84" i="5"/>
  <c r="BQ87" i="5"/>
  <c r="BQ86" i="5"/>
  <c r="BQ89" i="5"/>
  <c r="BQ90" i="5"/>
  <c r="BQ92" i="5"/>
  <c r="BQ91" i="5"/>
  <c r="BQ94" i="5"/>
  <c r="BQ95" i="5"/>
  <c r="BQ93" i="5"/>
  <c r="BQ97" i="5"/>
  <c r="BQ96" i="5"/>
  <c r="BQ100" i="5"/>
  <c r="BQ99" i="5"/>
  <c r="BQ101" i="5"/>
  <c r="BQ102" i="5"/>
  <c r="BQ103" i="5"/>
  <c r="BQ105" i="5"/>
  <c r="BQ104" i="5"/>
  <c r="BQ106" i="5"/>
  <c r="BQ107" i="5"/>
  <c r="BQ108" i="5"/>
  <c r="BQ109" i="5"/>
  <c r="BQ110" i="5"/>
  <c r="BQ112" i="5"/>
  <c r="BQ111" i="5"/>
  <c r="BQ113" i="5"/>
  <c r="BQ114" i="5"/>
  <c r="BQ116" i="5"/>
  <c r="BQ119" i="5"/>
  <c r="BQ117" i="5"/>
  <c r="BQ120" i="5"/>
  <c r="BQ118" i="5"/>
  <c r="BQ121" i="5"/>
  <c r="BQ123" i="5"/>
  <c r="BQ122" i="5"/>
  <c r="BQ125" i="5"/>
  <c r="BQ126" i="5"/>
  <c r="BQ124" i="5"/>
  <c r="BQ127" i="5"/>
  <c r="BQ130" i="5"/>
  <c r="BQ128" i="5"/>
  <c r="BQ129" i="5"/>
  <c r="BQ132" i="5"/>
  <c r="BQ133" i="5"/>
  <c r="BQ131" i="5"/>
  <c r="BQ134" i="5"/>
  <c r="BQ135" i="5"/>
  <c r="BQ138" i="5"/>
  <c r="BQ137" i="5"/>
  <c r="BQ136" i="5"/>
  <c r="BQ141" i="5"/>
  <c r="BQ139" i="5"/>
  <c r="BQ140" i="5"/>
  <c r="BQ143" i="5"/>
  <c r="BQ142" i="5"/>
  <c r="BQ146" i="5"/>
  <c r="BQ147" i="5"/>
  <c r="BQ144" i="5"/>
  <c r="BQ145" i="5"/>
  <c r="BQ148" i="5"/>
  <c r="BQ149" i="5"/>
  <c r="BQ150" i="5"/>
  <c r="BQ152" i="5"/>
  <c r="BQ151" i="5"/>
  <c r="BQ153" i="5"/>
  <c r="BQ154" i="5"/>
  <c r="BQ155" i="5"/>
  <c r="BQ156" i="5"/>
  <c r="BQ157" i="5"/>
  <c r="BQ158" i="5"/>
  <c r="BQ159" i="5"/>
  <c r="BQ160" i="5"/>
  <c r="BQ163" i="5"/>
  <c r="BQ161" i="5"/>
  <c r="BQ164" i="5"/>
  <c r="BQ162" i="5"/>
  <c r="BQ115" i="5"/>
  <c r="BR115" i="5" s="1"/>
  <c r="K105" i="7" s="1"/>
  <c r="BQ88" i="5"/>
  <c r="BR88" i="5" s="1"/>
  <c r="K78" i="7" s="1"/>
  <c r="BQ98" i="5"/>
  <c r="BR98" i="5" s="1"/>
  <c r="K88" i="7" s="1"/>
  <c r="BQ72" i="5"/>
  <c r="BR72" i="5" s="1"/>
  <c r="K62" i="7" s="1"/>
  <c r="BQ69" i="5"/>
  <c r="J10" i="1"/>
  <c r="J11" i="1" s="1"/>
  <c r="BW4" i="5"/>
  <c r="BW10" i="5" s="1"/>
  <c r="AL10" i="5"/>
  <c r="D62" i="2"/>
  <c r="E62" i="2" s="1"/>
  <c r="J62" i="2" s="1"/>
  <c r="F52" i="2"/>
  <c r="BP9" i="5"/>
  <c r="D65" i="2" s="1"/>
  <c r="D72" i="2" l="1"/>
  <c r="D67" i="2"/>
  <c r="E67" i="2" s="1"/>
  <c r="E65" i="2"/>
  <c r="E72" i="2" s="1"/>
  <c r="M25" i="3" s="1"/>
  <c r="D61" i="2"/>
  <c r="E61" i="2" s="1"/>
  <c r="J61" i="2" s="1"/>
  <c r="F51" i="2"/>
  <c r="BQ5" i="5"/>
  <c r="BR69" i="5"/>
  <c r="BQ8" i="5"/>
  <c r="BQ7" i="5"/>
  <c r="BQ9" i="5" l="1"/>
  <c r="K59" i="7"/>
  <c r="BR5" i="5"/>
  <c r="BR9" i="5" s="1"/>
  <c r="D49" i="2"/>
  <c r="C49" i="2"/>
  <c r="D59" i="2" l="1"/>
  <c r="E59" i="2" s="1"/>
  <c r="F49" i="2"/>
  <c r="F55" i="2" s="1"/>
  <c r="C55" i="2"/>
  <c r="G59" i="2"/>
  <c r="H59" i="2" s="1"/>
  <c r="H65" i="2" s="1"/>
  <c r="D55" i="2"/>
  <c r="G65" i="2" s="1"/>
  <c r="G67" i="2" l="1"/>
  <c r="H67" i="2" s="1"/>
  <c r="G72" i="2"/>
  <c r="H72" i="2"/>
  <c r="J65" i="2"/>
  <c r="J72" i="2" s="1"/>
  <c r="J59" i="2"/>
  <c r="J67" i="2" l="1"/>
  <c r="J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Gonzalez,Meredith (HHSC)</author>
  </authors>
  <commentList>
    <comment ref="C73" authorId="0" shapeId="0" xr:uid="{DA34146D-FDB5-4410-97B5-541CA3356167}">
      <text>
        <r>
          <rPr>
            <b/>
            <sz val="9"/>
            <color indexed="81"/>
            <rFont val="Tahoma"/>
            <family val="2"/>
          </rPr>
          <t>Updated TPI; previous TPI was 420957894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Gonzalez,Meredith (HHSC)</author>
  </authors>
  <commentList>
    <comment ref="B63" authorId="0" shapeId="0" xr:uid="{D0A24F86-3E82-4E0C-9FDD-829FF122AFF3}">
      <text>
        <r>
          <rPr>
            <b/>
            <sz val="9"/>
            <color indexed="81"/>
            <rFont val="Tahoma"/>
            <family val="2"/>
          </rPr>
          <t>Updated TPI; previous TPI was 420957894</t>
        </r>
      </text>
    </comment>
  </commentList>
</comments>
</file>

<file path=xl/sharedStrings.xml><?xml version="1.0" encoding="utf-8"?>
<sst xmlns="http://schemas.openxmlformats.org/spreadsheetml/2006/main" count="2817" uniqueCount="1003">
  <si>
    <t>SUMMARY</t>
  </si>
  <si>
    <t>Purpose: Provide overviews for hospitals based on selections</t>
  </si>
  <si>
    <t>Legend</t>
  </si>
  <si>
    <t>Input</t>
  </si>
  <si>
    <t>Instructions: Make selections below to choose what data you would like to view</t>
  </si>
  <si>
    <t>Y</t>
  </si>
  <si>
    <t>Summary</t>
  </si>
  <si>
    <t>Category</t>
  </si>
  <si>
    <t>Selection</t>
  </si>
  <si>
    <t>Current Program Year</t>
  </si>
  <si>
    <t>URBAN PUBLIC HOSPITAL (UPH) CLASS</t>
  </si>
  <si>
    <t>Class 1 (TH)</t>
  </si>
  <si>
    <t>Include</t>
  </si>
  <si>
    <t># Hospitals</t>
  </si>
  <si>
    <t>DSH Advance YTD Payments</t>
  </si>
  <si>
    <t>Final DSH Payment</t>
  </si>
  <si>
    <t>Total IGT Required</t>
  </si>
  <si>
    <t>DSH IGT YTD</t>
  </si>
  <si>
    <t>Final Pass 3 Payment after Haircut</t>
  </si>
  <si>
    <t>Final Pass 3 IGT Requirement</t>
  </si>
  <si>
    <t>Class 2</t>
  </si>
  <si>
    <t>State</t>
  </si>
  <si>
    <t>All Others</t>
  </si>
  <si>
    <t>Non-State</t>
  </si>
  <si>
    <t>Total</t>
  </si>
  <si>
    <t>Owner</t>
  </si>
  <si>
    <t>Private</t>
  </si>
  <si>
    <t>State Hospitals</t>
  </si>
  <si>
    <t>Public</t>
  </si>
  <si>
    <t># Applicable hospitals</t>
  </si>
  <si>
    <t>Rural Hospital</t>
  </si>
  <si>
    <t>Rural</t>
  </si>
  <si>
    <t>Ref #</t>
  </si>
  <si>
    <t>Hospital Name</t>
  </si>
  <si>
    <t>2021 Total DSH Payment</t>
  </si>
  <si>
    <t>No</t>
  </si>
  <si>
    <t>Children's Hospital</t>
  </si>
  <si>
    <t>Yes</t>
  </si>
  <si>
    <t>Teaching Hospital</t>
  </si>
  <si>
    <t>IMD Hospital</t>
  </si>
  <si>
    <t>Non-State Hospitals</t>
  </si>
  <si>
    <t>2021 TPI</t>
  </si>
  <si>
    <t>2021 NPI</t>
  </si>
  <si>
    <t>SUMMARY DASHBOARD</t>
  </si>
  <si>
    <t>Purpose: Provide overviews of hospital performance by various splits</t>
  </si>
  <si>
    <t>Instructions: Reference this page for quick views of the performance of the providers participating in DSH</t>
  </si>
  <si>
    <t>Providers with Ownership Changes</t>
  </si>
  <si>
    <t>Providers with Rural Status Changes</t>
  </si>
  <si>
    <t>Recoupments</t>
  </si>
  <si>
    <t>Hospital Changes Year-over-year (Ownership)</t>
  </si>
  <si>
    <t>Hospital Changes Year-over-year (Rural Status)</t>
  </si>
  <si>
    <t># Providers Identified</t>
  </si>
  <si>
    <t>Master TPI</t>
  </si>
  <si>
    <t>Name</t>
  </si>
  <si>
    <t>Prior Year Ownership 
(from Qualifications File)</t>
  </si>
  <si>
    <t>Current Year Ownership</t>
  </si>
  <si>
    <t>Prior Year Rural
(from Qualifications File)</t>
  </si>
  <si>
    <t>Current Year Rural</t>
  </si>
  <si>
    <t>Recoupments for Providers that Did Not Qualify</t>
  </si>
  <si>
    <t>112667403</t>
  </si>
  <si>
    <t>CHRISTUS Good Shepherd Health System</t>
  </si>
  <si>
    <t>020817501</t>
  </si>
  <si>
    <t>HCA Houston Healthcare Southeast</t>
  </si>
  <si>
    <t/>
  </si>
  <si>
    <t>Recoupments for Providers with a Negative State Payment cap</t>
  </si>
  <si>
    <t>121775403</t>
  </si>
  <si>
    <t>Christus Spohn Hospital Corpus Christi</t>
  </si>
  <si>
    <t>020834001</t>
  </si>
  <si>
    <t>Memorial Hermann Hospital System</t>
  </si>
  <si>
    <t>Total Recoupments for Providers Overpaid in Advance Payments</t>
  </si>
  <si>
    <t>137265806</t>
  </si>
  <si>
    <t>Ascension Seton</t>
  </si>
  <si>
    <t>020841501</t>
  </si>
  <si>
    <t>HCA Houston Healthcare Conroe</t>
  </si>
  <si>
    <t>Total Recoupments</t>
  </si>
  <si>
    <t>283280001</t>
  </si>
  <si>
    <t>Mayhill Hospital</t>
  </si>
  <si>
    <t>Private IMD</t>
  </si>
  <si>
    <t>020844903</t>
  </si>
  <si>
    <t>CHRISTUS Santa Rosa Health Care Corporation</t>
  </si>
  <si>
    <t>State Recoupments Only</t>
  </si>
  <si>
    <t>333289201</t>
  </si>
  <si>
    <t>Dallas Behavioral Healthcare Hospital, Llc</t>
  </si>
  <si>
    <t>020908201</t>
  </si>
  <si>
    <t>Texas Health Presbyterian Hospital Dallas</t>
  </si>
  <si>
    <t>All-Funds DSH Reduction Amount</t>
  </si>
  <si>
    <t>387515501</t>
  </si>
  <si>
    <t>UT Health East Texas Athens Hospital</t>
  </si>
  <si>
    <t>020934801</t>
  </si>
  <si>
    <t>Memorial Hermann Memorial City Medical Center</t>
  </si>
  <si>
    <t>Available Funds</t>
  </si>
  <si>
    <t>387663301</t>
  </si>
  <si>
    <t>UT Health East Texas Carthage Hospital</t>
  </si>
  <si>
    <t>020943901</t>
  </si>
  <si>
    <t>Medical City Dallas</t>
  </si>
  <si>
    <t>IGT to Refund To Urban Public Class 1 Hospitals</t>
  </si>
  <si>
    <t>020947001</t>
  </si>
  <si>
    <t>Columbia Valley Healthcare Systems Lp</t>
  </si>
  <si>
    <t>020950401</t>
  </si>
  <si>
    <t>Medical City Arlington</t>
  </si>
  <si>
    <t>Summary by UPH</t>
  </si>
  <si>
    <t>020957901</t>
  </si>
  <si>
    <t>Round Rock Medical Center</t>
  </si>
  <si>
    <t>Class</t>
  </si>
  <si>
    <t>Total IGT</t>
  </si>
  <si>
    <t>Total Payments</t>
  </si>
  <si>
    <t>020966001</t>
  </si>
  <si>
    <t>Lake Pointe Operating Company, Llc</t>
  </si>
  <si>
    <t>020967802</t>
  </si>
  <si>
    <t>Texas Health Presbyterian Hospital Denton</t>
  </si>
  <si>
    <t>020973601</t>
  </si>
  <si>
    <t>Bay Area Healthcare Group Ltd</t>
  </si>
  <si>
    <t>020976902</t>
  </si>
  <si>
    <t>Christus St. Michael Health System</t>
  </si>
  <si>
    <t>020977701</t>
  </si>
  <si>
    <t>Texas Orthopedic Hospital</t>
  </si>
  <si>
    <t>Summary by IMD</t>
  </si>
  <si>
    <t>020979302</t>
  </si>
  <si>
    <t>Medical City Las Colinas</t>
  </si>
  <si>
    <t>IMD</t>
  </si>
  <si>
    <t>020981901</t>
  </si>
  <si>
    <t>Vista Community Medical Center</t>
  </si>
  <si>
    <t>020982701</t>
  </si>
  <si>
    <t>Texas Health Presbyterian Hospital Allen</t>
  </si>
  <si>
    <t>021184901</t>
  </si>
  <si>
    <t>Cook Children's Medical Center</t>
  </si>
  <si>
    <t>021187203</t>
  </si>
  <si>
    <t>The University Of Texas Health Science Center At H</t>
  </si>
  <si>
    <t>Summary by Rural</t>
  </si>
  <si>
    <t>021189801</t>
  </si>
  <si>
    <t>Millwood Hospital</t>
  </si>
  <si>
    <t>021194801</t>
  </si>
  <si>
    <t>Texas Hhsc Austin State Hospital</t>
  </si>
  <si>
    <t>021195501</t>
  </si>
  <si>
    <t>Texas Hhsc North Texas State Hospital - Wichita</t>
  </si>
  <si>
    <t>021196301</t>
  </si>
  <si>
    <t>Texas Hhsc North Texas State Hospital - Vernon</t>
  </si>
  <si>
    <t>021203701</t>
  </si>
  <si>
    <t>Cypress Creek Hospital Inc</t>
  </si>
  <si>
    <t>Summary by Children's</t>
  </si>
  <si>
    <t>Children's</t>
  </si>
  <si>
    <t>STATE HOSPITALS</t>
  </si>
  <si>
    <t>Ownership</t>
  </si>
  <si>
    <t>DSH Advance Payments</t>
  </si>
  <si>
    <t>Federal Allocation</t>
  </si>
  <si>
    <t>IGT Advance</t>
  </si>
  <si>
    <t>IGT</t>
  </si>
  <si>
    <t>Rural Public Payment</t>
  </si>
  <si>
    <t>State/IMD</t>
  </si>
  <si>
    <t>State Teaching</t>
  </si>
  <si>
    <t>Sub-Total State</t>
  </si>
  <si>
    <t>Advance Payments to Non-Qualifying Providers</t>
  </si>
  <si>
    <t>Total State</t>
  </si>
  <si>
    <t>NON-STATE HOSPITALS</t>
  </si>
  <si>
    <t>IGT Payment</t>
  </si>
  <si>
    <t>Rural Public Pool Payment</t>
  </si>
  <si>
    <t>Total DSH Payment</t>
  </si>
  <si>
    <t>Urban Public Class 1</t>
  </si>
  <si>
    <t>Rural Public</t>
  </si>
  <si>
    <t>Non-Rural Public</t>
  </si>
  <si>
    <t>Rural Private</t>
  </si>
  <si>
    <t>Non-Rural Private</t>
  </si>
  <si>
    <t>Total Non-State</t>
  </si>
  <si>
    <t>Rural Payment</t>
  </si>
  <si>
    <t>Sub-Total Non-State</t>
  </si>
  <si>
    <t>Total excluding rural public payment:</t>
  </si>
  <si>
    <t>Exclude</t>
  </si>
  <si>
    <t>Total All Hospitals</t>
  </si>
  <si>
    <t>ASSUMPTION INPUTS</t>
  </si>
  <si>
    <t>Purpose: An area for data inputs necessary to update the model</t>
  </si>
  <si>
    <t>Dependent upon State tab</t>
  </si>
  <si>
    <t>Calculated within row/column</t>
  </si>
  <si>
    <t>Instructions: Each year, overwrite light gray cells with updated information</t>
  </si>
  <si>
    <t>Calculated based on Input</t>
  </si>
  <si>
    <t>Dependent upon Non-State tab</t>
  </si>
  <si>
    <t>N</t>
  </si>
  <si>
    <t>Inputs from Sources</t>
  </si>
  <si>
    <t>State and Federal Payments</t>
  </si>
  <si>
    <t>Zero Out Advance?</t>
  </si>
  <si>
    <t>Inputs:</t>
  </si>
  <si>
    <t>Federal</t>
  </si>
  <si>
    <t>&lt;&lt; insert "x" to zero out all 'advance' columns</t>
  </si>
  <si>
    <t>Match Rate</t>
  </si>
  <si>
    <t>Year:</t>
  </si>
  <si>
    <t>Federal DSH Allocation</t>
  </si>
  <si>
    <t>DY:</t>
  </si>
  <si>
    <t>Federal Match Rate:</t>
  </si>
  <si>
    <t>Texas IMD Cap</t>
  </si>
  <si>
    <t>State Match Rate:</t>
  </si>
  <si>
    <t>Reduction Percentage (if required):</t>
  </si>
  <si>
    <t>Rural Set Aside</t>
  </si>
  <si>
    <t>All Funds DSH Allocation:</t>
  </si>
  <si>
    <t>Reduced Rural Set Aside</t>
  </si>
  <si>
    <t>Federal DSH Allocation:</t>
  </si>
  <si>
    <t>Texas IMD Cap:</t>
  </si>
  <si>
    <t>State Hospitals (non-IMD)</t>
  </si>
  <si>
    <t>State GR Commitment:</t>
  </si>
  <si>
    <t>State Hospitals (IMD)</t>
  </si>
  <si>
    <t>Non-Transferring Hospital Self-IGT Adjustment:</t>
  </si>
  <si>
    <t>Remaining Funds for Non-State Pass 1 and 2</t>
  </si>
  <si>
    <t>Factor applied to State Teaching SPC less Attributable Advance Payments:</t>
  </si>
  <si>
    <t>TH+Public Hospital  IGT Commitment</t>
  </si>
  <si>
    <t>Factor Applied to State IMDs</t>
  </si>
  <si>
    <t>State GR Commitment</t>
  </si>
  <si>
    <t>Total IGT and State GR</t>
  </si>
  <si>
    <t>Grand Total Payments</t>
  </si>
  <si>
    <t>Additional Breakdowns</t>
  </si>
  <si>
    <t>Non-State Allocation</t>
  </si>
  <si>
    <t>IGT Breakdown</t>
  </si>
  <si>
    <t>IMD Check:</t>
  </si>
  <si>
    <t>Remaining Total Funds</t>
  </si>
  <si>
    <t>Self-IGT Repayment (Transferring)</t>
  </si>
  <si>
    <t>IMD Ceiling Adv Pmt</t>
  </si>
  <si>
    <t>Set-aside IGT Repayment</t>
  </si>
  <si>
    <t>Self-IGT Repayment (Non-Trans)</t>
  </si>
  <si>
    <t>IMD CAP</t>
  </si>
  <si>
    <t>Remaining for DSH Payments</t>
  </si>
  <si>
    <t>TH IGT Repayment</t>
  </si>
  <si>
    <t>IMD Cap &lt; IMD Ceiling</t>
  </si>
  <si>
    <t>Non-TH Self-IGT Adjustment</t>
  </si>
  <si>
    <t>IMD Reduction if necessary</t>
  </si>
  <si>
    <t>Non-TH Hold Harmless Days Adj:</t>
  </si>
  <si>
    <t>Total Needed Reduction</t>
  </si>
  <si>
    <t>Total State IMD Capped</t>
  </si>
  <si>
    <t>Additional IMD Reduction Factor</t>
  </si>
  <si>
    <t>Model 3.4 Assumptions</t>
  </si>
  <si>
    <t>Standard DSH Payment</t>
  </si>
  <si>
    <t>Hospitals with Residents</t>
  </si>
  <si>
    <t>Hospitals non-Residents</t>
  </si>
  <si>
    <t>Texas IMD Cap Breakdown</t>
  </si>
  <si>
    <t>Private IMDs Pool 2a</t>
  </si>
  <si>
    <t>Remaining IMD Payments</t>
  </si>
  <si>
    <t>STATE</t>
  </si>
  <si>
    <t>t</t>
  </si>
  <si>
    <t>x</t>
  </si>
  <si>
    <t>Purpose: Calculate State DSH Payments and IGTs by Provider</t>
  </si>
  <si>
    <t>SUMMARY TOTALS</t>
  </si>
  <si>
    <t>Count</t>
  </si>
  <si>
    <t>Max IMD %</t>
  </si>
  <si>
    <r>
      <t xml:space="preserve">State-owned </t>
    </r>
    <r>
      <rPr>
        <b/>
        <u/>
        <sz val="10"/>
        <rFont val="Calibri"/>
        <family val="2"/>
        <scheme val="minor"/>
      </rPr>
      <t>Teaching Hospital</t>
    </r>
    <r>
      <rPr>
        <b/>
        <sz val="10"/>
        <rFont val="Calibri"/>
        <family val="2"/>
        <scheme val="minor"/>
      </rPr>
      <t xml:space="preserve"> Totals</t>
    </r>
  </si>
  <si>
    <t># State Hospitals Qualified</t>
  </si>
  <si>
    <t>Qualification Data</t>
  </si>
  <si>
    <r>
      <t xml:space="preserve">State-owned </t>
    </r>
    <r>
      <rPr>
        <b/>
        <u/>
        <sz val="10"/>
        <rFont val="Calibri"/>
        <family val="2"/>
        <scheme val="minor"/>
      </rPr>
      <t>IMD</t>
    </r>
    <r>
      <rPr>
        <b/>
        <sz val="10"/>
        <rFont val="Calibri"/>
        <family val="2"/>
        <scheme val="minor"/>
      </rPr>
      <t xml:space="preserve"> Totals</t>
    </r>
  </si>
  <si>
    <t>Other Data</t>
  </si>
  <si>
    <t>State-owned Totals</t>
  </si>
  <si>
    <t>Calculation</t>
  </si>
  <si>
    <t>TAC Subsection</t>
  </si>
  <si>
    <t>§355.8065.g.1</t>
  </si>
  <si>
    <t>TAC Description</t>
  </si>
  <si>
    <t>Checks if YTD Advance UC Payments exceed Adjustments + Charity Costs</t>
  </si>
  <si>
    <t>Difference of SPC and UC Advanced Payment Attributable to SPC</t>
  </si>
  <si>
    <t>Applies the 90% factor to the SPC less Attributable UC Adv Pmts</t>
  </si>
  <si>
    <t>Multiplies the state match % by the Total DSH Payment</t>
  </si>
  <si>
    <t>Subtracts the Total DSH Payment from the SPC</t>
  </si>
  <si>
    <t>Subtracts the YTD Payments from the Total DSH Payment</t>
  </si>
  <si>
    <t>Subtracts the YTD IGTs from the Total IGT Required</t>
  </si>
  <si>
    <t>Pulls only the Total DSH Payments for IMD Hospitals</t>
  </si>
  <si>
    <t>Identifies providers with negative final payments to bring into the '5.Recoupments' tab</t>
  </si>
  <si>
    <t>Identifies providers to bring into the Dynamic Summary tab based on selections</t>
  </si>
  <si>
    <t>Lookup</t>
  </si>
  <si>
    <t>Master NPI</t>
  </si>
  <si>
    <t>HOSPITAL NAME</t>
  </si>
  <si>
    <t>COUNTY</t>
  </si>
  <si>
    <t>OWNER</t>
  </si>
  <si>
    <t>RURAL HOSPITAL</t>
  </si>
  <si>
    <t>CHILDREN'S HOSPITAL</t>
  </si>
  <si>
    <t>TEACHING HOSPITAL</t>
  </si>
  <si>
    <t>IMD HOSPITAL</t>
  </si>
  <si>
    <t>YTD ADVANCE UC PAYMENTS</t>
  </si>
  <si>
    <t>SCHEDULE 1 &amp; 2 + ADJUSTMENTS + UC-ONLY CHARITY COSTS</t>
  </si>
  <si>
    <t>UC Advance Payment Attributable to SPC</t>
  </si>
  <si>
    <t>SPC less Attributable UC Advance Payments</t>
  </si>
  <si>
    <t>SPC capped for State IMD and 90% State Teaching</t>
  </si>
  <si>
    <t>Remaining SPC</t>
  </si>
  <si>
    <t>YTD Advance DSH Payment</t>
  </si>
  <si>
    <t>YTD Advance DSH IGT</t>
  </si>
  <si>
    <t>IMD Payment Check</t>
  </si>
  <si>
    <t>Notes</t>
  </si>
  <si>
    <t>Recoupment Flag Formulas</t>
  </si>
  <si>
    <t>Summary Tab Formulas</t>
  </si>
  <si>
    <t>1578547667</t>
  </si>
  <si>
    <t>Harris County Psychiatric Center</t>
  </si>
  <si>
    <t>Harris</t>
  </si>
  <si>
    <t>1326052226</t>
  </si>
  <si>
    <t>Travis</t>
  </si>
  <si>
    <t>1477669208</t>
  </si>
  <si>
    <t>Wilbarger</t>
  </si>
  <si>
    <t>1245344472</t>
  </si>
  <si>
    <t>021219301</t>
  </si>
  <si>
    <t>1821161167</t>
  </si>
  <si>
    <t>Texas Hhsc Rio Grande State Hospital</t>
  </si>
  <si>
    <t>Cameron</t>
  </si>
  <si>
    <t>112672402</t>
  </si>
  <si>
    <t>1174582050</t>
  </si>
  <si>
    <t>The University Of Texas Md Anderson Cancer Center</t>
  </si>
  <si>
    <t>112751605</t>
  </si>
  <si>
    <t>1720094550</t>
  </si>
  <si>
    <t>Texas Hhsc El Paso Psychiatric Center</t>
  </si>
  <si>
    <t>El Paso</t>
  </si>
  <si>
    <t>127278304</t>
  </si>
  <si>
    <t>1417941295</t>
  </si>
  <si>
    <t>Ut Health North Campus Tyler</t>
  </si>
  <si>
    <t>Smith</t>
  </si>
  <si>
    <t>137918204</t>
  </si>
  <si>
    <t>1881600682</t>
  </si>
  <si>
    <t>Texas Hhsc Big Spring State Hospital</t>
  </si>
  <si>
    <t>Howard</t>
  </si>
  <si>
    <t>137919003</t>
  </si>
  <si>
    <t>1992713119</t>
  </si>
  <si>
    <t>Texas Hhsc Terrell State Hospital</t>
  </si>
  <si>
    <t>Kaufman</t>
  </si>
  <si>
    <t>138706004</t>
  </si>
  <si>
    <t>1972511921</t>
  </si>
  <si>
    <t>Texas Hhsc San Antonio State Hospital</t>
  </si>
  <si>
    <t>Bexar</t>
  </si>
  <si>
    <t>175287501</t>
  </si>
  <si>
    <t>1285798918</t>
  </si>
  <si>
    <t>Ut Southwestern University Hospital - Clements</t>
  </si>
  <si>
    <t>Dallas</t>
  </si>
  <si>
    <t>NON-STATE</t>
  </si>
  <si>
    <t>Purpose: Calculate Non-State DSH Payment</t>
  </si>
  <si>
    <t>IMD Payments</t>
  </si>
  <si>
    <t>Goal Seek so that Y9 = Federal Share&gt;&gt;&gt;</t>
  </si>
  <si>
    <t>Sum of Private Leftover DSH Amount Paid</t>
  </si>
  <si>
    <t>IMD CHECK</t>
  </si>
  <si>
    <t>Sum of Non-Negative Values</t>
  </si>
  <si>
    <t>Variance: Final Pmt</t>
  </si>
  <si>
    <t>Sum of All IGT to Regund and Distribute To Urban Public Class 1 Hospitals</t>
  </si>
  <si>
    <t>Variance: Final IGT</t>
  </si>
  <si>
    <t>Total Private Reduced DSH IGT Based on Recoupments not Collected</t>
  </si>
  <si>
    <t>Goal Seek&gt;&gt;&gt;</t>
  </si>
  <si>
    <t>Remaining Funds for Non-State Pass 1</t>
  </si>
  <si>
    <t>Rural Public Pool</t>
  </si>
  <si>
    <t>Rural Private Pool</t>
  </si>
  <si>
    <t>Reduction:</t>
  </si>
  <si>
    <t>Non-State Owned Urban Public Hospital Class 1</t>
  </si>
  <si>
    <t>Non-State Owned Urban Public Hospital Class 2</t>
  </si>
  <si>
    <t># Non-State Hospitals Qualified</t>
  </si>
  <si>
    <t>Non-State Owned All Other Private Hospitals</t>
  </si>
  <si>
    <t>Non-State Owned All Other Public Hospitals</t>
  </si>
  <si>
    <t>Non-State Owned Totals</t>
  </si>
  <si>
    <t>§355.8065.h.8</t>
  </si>
  <si>
    <t>§355.8065.h.4.A.i</t>
  </si>
  <si>
    <t>§355.8065.h.4.A.ii / §355.8065.h.4.A.iii</t>
  </si>
  <si>
    <t>§355.8065.h.4.A.iv</t>
  </si>
  <si>
    <t>§355.8065.h.4.A.iii</t>
  </si>
  <si>
    <t>§355.8065.h.4.B.i</t>
  </si>
  <si>
    <t>§355.8065.h.4.B.ii</t>
  </si>
  <si>
    <t>TAC Instructions</t>
  </si>
  <si>
    <t>Pass Three - additional allocation of DSH funds for rural public and rural public-financed hospitals. Rural public hospitals or rural public-financed hospitals that met the funding requirements described in paragraph (2)(C) of this subsection may be eligible for DSH funds in addition to the projected payment amounts calculated in paragraphs (4) - (7) of this subsection.</t>
  </si>
  <si>
    <t>Weighted Medicaid inpatient days are equal to the hospital's Medicaid inpatient days multiplied by the appropriate weighting factors from paragraph (3) of this subsection.</t>
  </si>
  <si>
    <t>Low-income days are equal to the hospital's low-income utilization rate as calculated in subsection (d)(2) of this section multiplied by the hospital's total inpatient days as defined in subsection (b)(18) of this section.</t>
  </si>
  <si>
    <t>Total DSH days equal the sum of weighted Medicaid inpatient days and weighted low-income days.</t>
  </si>
  <si>
    <t>Weighted low-income days are equal to the hospital's low-income days multiplied by the appropriate weighting factors from paragraph (3) of this subsection.</t>
  </si>
  <si>
    <t>Divide each hospital's total DSH days from subparagraph (A)(iv) of this paragraph by the sum of total DSH days for all non-state-owned DSH hospitals to obtain a percentage.</t>
  </si>
  <si>
    <t>Multiply each hospital's percentage as calculated in clause (i) of this subparagraph by the amount determined in paragraph (2)(A) of this subsection to determine each hospital's Pass One projected payment amount from Pool One.</t>
  </si>
  <si>
    <t>In the event that the projected payment amount calculated in paragraph (4)(B)(iv) of this subsection plus any previous payment amounts for the program year exceeds a hospital's state payment cap, the payment amount will be reduced such that the sum of the payment amount plus any previous payment amounts is equal to the state payment cap.</t>
  </si>
  <si>
    <t>HHSC will sum all resulting excess funds and redistribute that amount to qualifying non-state-owned hospitals that have projected payments, including any previous payment amounts for the program year, below their state payment caps.</t>
  </si>
  <si>
    <t>For each Urban public hospital - Class one and Class two-- (I) multiply its total Pool One and Pool Two payments after Pass Two from paragraph (5) of this subsection by the percentage of the hospital's total Pass One projected payment amount accruing from Pool Two from paragraph (4)(B)(v) of this subsection</t>
  </si>
  <si>
    <t>Pass Two - Secondary redistribution of amounts in excess of state payment caps for Pool Three. For each hospital that received a Pass One initial or secondary payment from Pool Three, HHSC will sum the result from paragraph (5) of this subsection and the result from paragraph (6) of this subsection to determine the hospital's total projected DSH payment.</t>
  </si>
  <si>
    <t>In the event this sum plus any previous payment amounts for the program year exceeds a hospital's state payment cap, the payment amount will be reduced such that the sum of the payment amount plus any previous payment amounts is equal to the state payment cap</t>
  </si>
  <si>
    <t>HHSC will sum all resulting excess funds and redistribute that amount to qualifying non-state-owned hospitals eligible for payments from Pool Three that have projected payments, including any previous payment amounts for the program year, below their state payment caps</t>
  </si>
  <si>
    <t>subtract the hospital's projected DSH payment plus any previous payment amounts for the program year from its state payment cap;</t>
  </si>
  <si>
    <t>For each Urban public hospital - Class one, divide the intergovernmental transfer made on behalf of that hospital by the sum of the intergovernmental transfers made on behalf of all Urban public hospitals - Class one from clause (i) of this subparagraph;</t>
  </si>
  <si>
    <t>Check to see if provider is eligible for 3rd pass</t>
  </si>
  <si>
    <t>Multiplies Total IP Census Days by LIUR %</t>
  </si>
  <si>
    <t>Adds Low Income Days to Total Hospital Medicaid Days</t>
  </si>
  <si>
    <t>Multiplying Total Days by Non-TH Hold Harmless Days Adj</t>
  </si>
  <si>
    <t>Determines weight of total adjust days that each provider has</t>
  </si>
  <si>
    <t>Multiplies State GR Commitment by Share of Total Adj Days</t>
  </si>
  <si>
    <t>If any of the advance UC payment are attributable to the SPC, the funds are removed</t>
  </si>
  <si>
    <t>Looks at each UPH Class 1's SPC and determines total weight</t>
  </si>
  <si>
    <t>Adding together the Total Days of both the State GR Payment and the Federal Non-GR payment</t>
  </si>
  <si>
    <t>Caps the SPC Payment at the lesser of the Total Payment before State Cap and IGT Return and the SPC less Attributable UC Advance Payments, provided this is above 0</t>
  </si>
  <si>
    <t>Takes difference of the Total Payment before SPC and IGT Return and the Capped SPC</t>
  </si>
  <si>
    <t>Takes the non-negative difference of SPC less Attributable UC Advance Payments and Capped SPC</t>
  </si>
  <si>
    <t>Applies the weight of each hospital's Remaining SPC to the Leftover Payment due to SPC Cap</t>
  </si>
  <si>
    <t>Combines the Leftover DSH Amount Paid with the Capped SPC</t>
  </si>
  <si>
    <t>If Urban Public – Take Pool 2 Pass 1 and divide by Total Payment Before State Payment Cap and IGT Return, then multiply by the Pool 2 Pass 2 Payment before IGT Return. Then multiply by the ratio of the State Match % to the Federal Match %.If Public Non-Urban – Same thing, but multiply by Non-TH Self-IGT Adjustment (1.0 right now), All Others – None</t>
  </si>
  <si>
    <t>Applies Share of UPH Class 1 SPC to IGT Repayment</t>
  </si>
  <si>
    <t>Add Pool 2 Pass 2 Payment to both IGT Amounts</t>
  </si>
  <si>
    <t>Takes the non-negative difference of SPC less Attributable UC Advance Payments and Pool 3 Total Payment</t>
  </si>
  <si>
    <t>Takes difference of Pool 3 Total Payment and Capped Pool 3 Payment</t>
  </si>
  <si>
    <t>Takes difference of SPC less Attributable UC Advance Payments and Capped Pool 3 Payment</t>
  </si>
  <si>
    <t>Distributes the Leftover Payment from SPC Cap based on the weight of  each hospital's Remaining SPC</t>
  </si>
  <si>
    <t>Sum of Capped Pool 3 Payment and Leftover DSH Amount Paid</t>
  </si>
  <si>
    <t>Reduce the IGT to Non-Privates by the Leftover DSH Amount Paid multiplied by the state match %</t>
  </si>
  <si>
    <t>Distribute the Leftover DSH Amount Paid to the Non-Privates by multiplying by the state match %</t>
  </si>
  <si>
    <t>Takes the Leftover DSH Amount Paid from Privates, multiplies by the state match %, and distributes this amount to the UPH Class 1 Hospitals based on %HSL</t>
  </si>
  <si>
    <t>Add IGT from Self, TH IFT Other Than Self, IGT Reduction For Pool 3 Pass 2 Overage, and both Pool 3 Pass 2 Additional IGT Redistributions</t>
  </si>
  <si>
    <t>Non-Negative difference between the SPC less Attributable UC Advance Payments and Pool 3 (Pass 2) Total Payment (including IGT repayment)</t>
  </si>
  <si>
    <t>Difference between Pool 3 (Pass 2) Total Payment (including IGT repayment) and Total IGT Paid</t>
  </si>
  <si>
    <t>Pool 1 Advance Payments</t>
  </si>
  <si>
    <t>YTD DSH Payments subtracted from the Pool 3 (Pass 2) Total Payment (including IGT repayment)</t>
  </si>
  <si>
    <t>DSH Final Payment multiplied by the state match %</t>
  </si>
  <si>
    <t>If the DSH Final Payment is positive, then use the weight of DSH Final Payment to distribute the Available Funds from Recoupments Not Collected</t>
  </si>
  <si>
    <t>If Private with a negative DSH Final Payment, this money is multiplied by -1 and the State Match %</t>
  </si>
  <si>
    <t>Based on %HSL, redistribute the Private Hospital Excess IGT plus the IGT to Refund To Urban Public Class 1 Hospitals from Recoupments to the UPH Class 1 Hospitals</t>
  </si>
  <si>
    <t>Total IGT Paid plus Redistribution of Excess Private IGT minus Advance DSH IGT</t>
  </si>
  <si>
    <t>Reduced DSH Payment Based on Recoupments Not Collected multiplied by state match %</t>
  </si>
  <si>
    <t>Distribute Remaining IGT to Large Urban Publics</t>
  </si>
  <si>
    <t>If UPH Class 1, then Reduced DSH IGT Based on Recoupments not Collected plus Final Private IGT Distro from Assumptions tab.  If public but not UPH Class 1, then Reduced DSH IGT Based on Recoupments not Collected, otherwise 0</t>
  </si>
  <si>
    <t>If eligible for Pass 3, then Remaining SPC #3 multiplied by state match %</t>
  </si>
  <si>
    <t>If eligible for Pass 3, then Remaining SPC #3</t>
  </si>
  <si>
    <t>Pass 3 IGT Commitment divided by state match %</t>
  </si>
  <si>
    <t>Distribute Pass 3 Set Aside based on the weight of each hospital's Pass 3 Payments Based on IGT Commitments Prior to Haircut</t>
  </si>
  <si>
    <t>Final Pass 3 Payment after Haircut multiplied by state match %</t>
  </si>
  <si>
    <t>Final Pass 3 Payment after Haircut plus Reduced DSH Payment Based on Recoupments Not Collected plus YTD DSH Payments</t>
  </si>
  <si>
    <t>Identifies providers with negative final payments to bring into the 'Recoupments' tab</t>
  </si>
  <si>
    <t>Pool 2 Pass 1 Uniform Percentage of Costs</t>
  </si>
  <si>
    <t>Rural Pool Uniform Percentage of Costs</t>
  </si>
  <si>
    <t>RURAL (Proposed Rule)</t>
  </si>
  <si>
    <t>Residents</t>
  </si>
  <si>
    <t>3rd Pass Eligible</t>
  </si>
  <si>
    <t xml:space="preserve">Total Hospital Medicaid Days (Includes OOS Days, Excludes Dual Eligible Days) </t>
  </si>
  <si>
    <t>Total IP Census Days</t>
  </si>
  <si>
    <t>LIUR Percentage</t>
  </si>
  <si>
    <t>Low-Income Days</t>
  </si>
  <si>
    <t>Unweighted Total DSH Days</t>
  </si>
  <si>
    <t>Total DSH Days</t>
  </si>
  <si>
    <t>Share of Total DSH Days</t>
  </si>
  <si>
    <t>Pool 1 Pass 1 State GR Projected Payment</t>
  </si>
  <si>
    <t>State Payment Cap</t>
  </si>
  <si>
    <t>YTD Advance UC Payments</t>
  </si>
  <si>
    <t>Schedule 1 &amp; 2 costs + Adjustments + UC-Only Charity Costs</t>
  </si>
  <si>
    <t>Share of Transferring Hospital SPC</t>
  </si>
  <si>
    <t>Medicaid Shortfall</t>
  </si>
  <si>
    <t>Pool 2a Preliminary Amount: Max of Medicaid Shortfall and Standard DSH Payment</t>
  </si>
  <si>
    <t>Pool 2a Federal Portion 
(Capped at Federal Portion of SPC)</t>
  </si>
  <si>
    <t>Public pay own IGT</t>
  </si>
  <si>
    <t>Transferring Hospitals pay Private IGT</t>
  </si>
  <si>
    <t>Total Pool 2a (Federal + IGT)</t>
  </si>
  <si>
    <t>Total Cost Calculation</t>
  </si>
  <si>
    <t>Total Payment Calculation</t>
  </si>
  <si>
    <t>Payment / Costs</t>
  </si>
  <si>
    <t>Distribute Federal Share until everyone reaches the same Payments as a Percent of Costs</t>
  </si>
  <si>
    <t>Pools 1 &amp; 2 Pass 1 Projected Payment (Federal Portions)</t>
  </si>
  <si>
    <t>Capped Total Payment</t>
  </si>
  <si>
    <t>Excess Funds</t>
  </si>
  <si>
    <t>Leftover DSH Amount Paid</t>
  </si>
  <si>
    <t>Pools 1 &amp; 2 Pass 2 Revised Projected Payment</t>
  </si>
  <si>
    <t>Public IGT Distribution</t>
  </si>
  <si>
    <t>Transferring Hospitals pay Private IGT Distribution</t>
  </si>
  <si>
    <t>Total Projected DSH Payment</t>
  </si>
  <si>
    <t>Capped Total Projected DSH Payment</t>
  </si>
  <si>
    <t>Leftover Payment from SPC Cap</t>
  </si>
  <si>
    <t>Remaining SPC #2</t>
  </si>
  <si>
    <t>Pools 1, 2, &amp; 3 Pass 2 Projected Payment Amount</t>
  </si>
  <si>
    <t>IGT Reduction For Pool 3 Pass 2 Overage</t>
  </si>
  <si>
    <t>Pool 3 Pass 2 Additional IGT Redistribution</t>
  </si>
  <si>
    <t>UPH Class 1 Only Pool 3 Pass 2 Additional IGT Redistribution</t>
  </si>
  <si>
    <t>Total IGT Paid</t>
  </si>
  <si>
    <t>Remaining SPC #3</t>
  </si>
  <si>
    <t>DSH Payment Net of IGT</t>
  </si>
  <si>
    <t>IGT check</t>
  </si>
  <si>
    <t>Reduced DSH Payment Based on Recoupments Not Collected</t>
  </si>
  <si>
    <t>Private Hospital IGT to Redistribute to Urban Public Class 1 Hospitals</t>
  </si>
  <si>
    <t>Redistribution of Excess Private IGT To Urban Public Class 1 Hospitals</t>
  </si>
  <si>
    <t>Reduced DSH IGT Based on Recoupments not Collected</t>
  </si>
  <si>
    <t>Pool 3 Secondary Payment</t>
  </si>
  <si>
    <t>Reduced DSH IGT Including Private Distro</t>
  </si>
  <si>
    <t>Distribute Rural  Pool to Rural Publics until everyone reaches the same Payments as a Percent of Costs</t>
  </si>
  <si>
    <t>Public Rural Pool Maximum IGT</t>
  </si>
  <si>
    <t>Rural Pool Maximum Payment before Limiting to Available Funds (cannot limit until we get all IGT commitment values)</t>
  </si>
  <si>
    <t>Rural Pool Payments based on IGT Commitments prior to Haircut</t>
  </si>
  <si>
    <t>Final Rural Pool Payment after Haircut</t>
  </si>
  <si>
    <t>Final Rural Pool IGT Requirement Distributed to Transferring Hospitals</t>
  </si>
  <si>
    <t>Private Rural Pool Maximum IGT</t>
  </si>
  <si>
    <t>Private Rural Pool Maximum Payment before Limiting to Available Funds (cannot limit until we get all IGT commitment values)</t>
  </si>
  <si>
    <t>Private Rural Pool Payments based on IGT Commitments prior to Haircut</t>
  </si>
  <si>
    <t>Final Federal Private Rural Pool Payment after Haircut</t>
  </si>
  <si>
    <t>For Summary Tabs</t>
  </si>
  <si>
    <t>020811801</t>
  </si>
  <si>
    <t>1447228747</t>
  </si>
  <si>
    <t>CHRISTUS Spohn Hospital Beeville</t>
  </si>
  <si>
    <t>Bee</t>
  </si>
  <si>
    <t>1174576698</t>
  </si>
  <si>
    <t>1730132234</t>
  </si>
  <si>
    <t>1962455816</t>
  </si>
  <si>
    <t>Montgomery</t>
  </si>
  <si>
    <t>1396779948</t>
  </si>
  <si>
    <t>Texas Health Dallas</t>
  </si>
  <si>
    <t>1043267701</t>
  </si>
  <si>
    <t>Valley Regional Medical Center</t>
  </si>
  <si>
    <t>1134172406</t>
  </si>
  <si>
    <t>Tarrant</t>
  </si>
  <si>
    <t>1205018439</t>
  </si>
  <si>
    <t>Baylor Scott &amp; White Medical Center - Lake Pointe</t>
  </si>
  <si>
    <t>Rockwall</t>
  </si>
  <si>
    <t>1508810573</t>
  </si>
  <si>
    <t>Corpus Christi Medical Center</t>
  </si>
  <si>
    <t>Nueces</t>
  </si>
  <si>
    <t>1295736734</t>
  </si>
  <si>
    <t>Bowie</t>
  </si>
  <si>
    <t>020992601</t>
  </si>
  <si>
    <t>1083612121</t>
  </si>
  <si>
    <t>Stonewall Memorial Hospital District</t>
  </si>
  <si>
    <t>Stonewall</t>
  </si>
  <si>
    <t>1023015120</t>
  </si>
  <si>
    <t>1730187568</t>
  </si>
  <si>
    <t>021215104</t>
  </si>
  <si>
    <t>1689692402</t>
  </si>
  <si>
    <t>Cedar Crest Hospital And Rtc</t>
  </si>
  <si>
    <t>Bell</t>
  </si>
  <si>
    <t>021240902</t>
  </si>
  <si>
    <t>1043280951</t>
  </si>
  <si>
    <t>Laurel Ridge Treatment Center</t>
  </si>
  <si>
    <t>094108002</t>
  </si>
  <si>
    <t>1679578439</t>
  </si>
  <si>
    <t>CHRISTUS Mother Frances Hospital - Tyler</t>
  </si>
  <si>
    <t>094109802</t>
  </si>
  <si>
    <t>1770536120</t>
  </si>
  <si>
    <t>Las Palmas Del Sol Healthcare</t>
  </si>
  <si>
    <t>094113001</t>
  </si>
  <si>
    <t>1770573586</t>
  </si>
  <si>
    <t>South Texas Health System</t>
  </si>
  <si>
    <t>Hidalgo</t>
  </si>
  <si>
    <t>094118902</t>
  </si>
  <si>
    <t>1851343909</t>
  </si>
  <si>
    <t>Detar Hospital</t>
  </si>
  <si>
    <t>Victoria</t>
  </si>
  <si>
    <t>094121303</t>
  </si>
  <si>
    <t>1821025990</t>
  </si>
  <si>
    <t>Memorial Hospital</t>
  </si>
  <si>
    <t>Gaines</t>
  </si>
  <si>
    <t>094129604</t>
  </si>
  <si>
    <t>1700991700</t>
  </si>
  <si>
    <t>Moore County Hospital District</t>
  </si>
  <si>
    <t>Moore</t>
  </si>
  <si>
    <t>094148602</t>
  </si>
  <si>
    <t>1093744187</t>
  </si>
  <si>
    <t>Baptist Hospitals Of Southeast Texas</t>
  </si>
  <si>
    <t>Jefferson</t>
  </si>
  <si>
    <t>094154402</t>
  </si>
  <si>
    <t>1124074273</t>
  </si>
  <si>
    <t>Methodist Hospital</t>
  </si>
  <si>
    <t>094160103</t>
  </si>
  <si>
    <t>1720033947</t>
  </si>
  <si>
    <t>St. David's Medical Center</t>
  </si>
  <si>
    <t>094186602</t>
  </si>
  <si>
    <t>1396731105</t>
  </si>
  <si>
    <t>Doctors Hospital Of Laredo</t>
  </si>
  <si>
    <t>Webb</t>
  </si>
  <si>
    <t>094187402</t>
  </si>
  <si>
    <t>1275580938</t>
  </si>
  <si>
    <t>Hca Houston Healthcare West</t>
  </si>
  <si>
    <t>094216103</t>
  </si>
  <si>
    <t>1629021845</t>
  </si>
  <si>
    <t>North Austin Medical Center</t>
  </si>
  <si>
    <t>094222903</t>
  </si>
  <si>
    <t>1003885641</t>
  </si>
  <si>
    <t>CHRISTUS Spohn Hospital Alice</t>
  </si>
  <si>
    <t>Jim Wells</t>
  </si>
  <si>
    <t>094224503</t>
  </si>
  <si>
    <t>1356312243</t>
  </si>
  <si>
    <t>Big Bend Regional Medical Center</t>
  </si>
  <si>
    <t>Brewster</t>
  </si>
  <si>
    <t>110839103</t>
  </si>
  <si>
    <t>1528026267</t>
  </si>
  <si>
    <t>Longview Regional Medical Center</t>
  </si>
  <si>
    <t>Gregg</t>
  </si>
  <si>
    <t>111829102</t>
  </si>
  <si>
    <t>1093708679</t>
  </si>
  <si>
    <t>Ascension Providence</t>
  </si>
  <si>
    <t>McLennan</t>
  </si>
  <si>
    <t>111915801</t>
  </si>
  <si>
    <t>1497708929</t>
  </si>
  <si>
    <t>Parkview Regional Hospital</t>
  </si>
  <si>
    <t>Limestone</t>
  </si>
  <si>
    <t>1124092036</t>
  </si>
  <si>
    <t>112677302</t>
  </si>
  <si>
    <t>1336172105</t>
  </si>
  <si>
    <t>Texas Health Fort Worth</t>
  </si>
  <si>
    <t>112679902</t>
  </si>
  <si>
    <t>1205833985</t>
  </si>
  <si>
    <t>Mission Regional Medical Center</t>
  </si>
  <si>
    <t>112684904</t>
  </si>
  <si>
    <t>1831170273</t>
  </si>
  <si>
    <t>Reeves County Hospital District</t>
  </si>
  <si>
    <t>Reeves</t>
  </si>
  <si>
    <t>112688004</t>
  </si>
  <si>
    <t>1447574819</t>
  </si>
  <si>
    <t>Frio Regional Hospital</t>
  </si>
  <si>
    <t>Frio</t>
  </si>
  <si>
    <t>112697102</t>
  </si>
  <si>
    <t>1689650616</t>
  </si>
  <si>
    <t>Chi St. Luke'S Health Memorial Livingston</t>
  </si>
  <si>
    <t>Polk</t>
  </si>
  <si>
    <t>112704504</t>
  </si>
  <si>
    <t>1245237593</t>
  </si>
  <si>
    <t>Ochiltree General Hospital</t>
  </si>
  <si>
    <t>Ochiltree</t>
  </si>
  <si>
    <t>112711003</t>
  </si>
  <si>
    <t>1801852736</t>
  </si>
  <si>
    <t>Odessa Regional Medical Center</t>
  </si>
  <si>
    <t>Ector</t>
  </si>
  <si>
    <t>112716902</t>
  </si>
  <si>
    <t>1619924719</t>
  </si>
  <si>
    <t>Rio Grande Regional Hospital</t>
  </si>
  <si>
    <t>112724302</t>
  </si>
  <si>
    <t>1811942238</t>
  </si>
  <si>
    <t>HCA Houston Healthcare Kingwood</t>
  </si>
  <si>
    <t>112742503</t>
  </si>
  <si>
    <t>1326015595</t>
  </si>
  <si>
    <t>Clarity Child Guidance Center</t>
  </si>
  <si>
    <t>112745802</t>
  </si>
  <si>
    <t>1518937218</t>
  </si>
  <si>
    <t>River Crest Hospital</t>
  </si>
  <si>
    <t>Tom Green</t>
  </si>
  <si>
    <t>112746602</t>
  </si>
  <si>
    <t>1922078815</t>
  </si>
  <si>
    <t>Glen Oaks Hospital</t>
  </si>
  <si>
    <t>Hunt</t>
  </si>
  <si>
    <t>119874904</t>
  </si>
  <si>
    <t>1790777696</t>
  </si>
  <si>
    <t>Faith Community Hospital</t>
  </si>
  <si>
    <t>Jack</t>
  </si>
  <si>
    <t>119877204</t>
  </si>
  <si>
    <t>1104830900</t>
  </si>
  <si>
    <t>Val Verde Regional Medical Center</t>
  </si>
  <si>
    <t>Val Verde</t>
  </si>
  <si>
    <t>1689641680</t>
  </si>
  <si>
    <t>121782009</t>
  </si>
  <si>
    <t>1740288505</t>
  </si>
  <si>
    <t>Uvalde Memorial Hospital</t>
  </si>
  <si>
    <t>Uvalde</t>
  </si>
  <si>
    <t>121785303</t>
  </si>
  <si>
    <t>1932108214</t>
  </si>
  <si>
    <t>Gonzales Healthcare Systems</t>
  </si>
  <si>
    <t>Gonzales</t>
  </si>
  <si>
    <t>121807504</t>
  </si>
  <si>
    <t>1063466035</t>
  </si>
  <si>
    <t>HCA Houston Healthcare Clear Lake</t>
  </si>
  <si>
    <t>121816602</t>
  </si>
  <si>
    <t>1164510673</t>
  </si>
  <si>
    <t>Palestine Regional Medical Center</t>
  </si>
  <si>
    <t>Anderson</t>
  </si>
  <si>
    <t>121829905</t>
  </si>
  <si>
    <t>1598764359</t>
  </si>
  <si>
    <t xml:space="preserve">West Oak Hospital Inc </t>
  </si>
  <si>
    <t>126675104</t>
  </si>
  <si>
    <t>1992753222</t>
  </si>
  <si>
    <t>Jps Health Network</t>
  </si>
  <si>
    <t>127263503</t>
  </si>
  <si>
    <t>1073580726</t>
  </si>
  <si>
    <t>Covenant Hospital Plainview</t>
  </si>
  <si>
    <t>Hale</t>
  </si>
  <si>
    <t>127267603</t>
  </si>
  <si>
    <t>1942294939</t>
  </si>
  <si>
    <t>Chi St. Joseph Health Regional Hospital</t>
  </si>
  <si>
    <t>Brazos</t>
  </si>
  <si>
    <t>127295703</t>
  </si>
  <si>
    <t>1932123247</t>
  </si>
  <si>
    <t>Parkland Health And Hospital System</t>
  </si>
  <si>
    <t>127298107</t>
  </si>
  <si>
    <t>1174563779</t>
  </si>
  <si>
    <t>Permian Regional Medical Center</t>
  </si>
  <si>
    <t>Andrews</t>
  </si>
  <si>
    <t>127303903</t>
  </si>
  <si>
    <t>1700883196</t>
  </si>
  <si>
    <t>Oakbend Medical Center</t>
  </si>
  <si>
    <t>Fort Bend</t>
  </si>
  <si>
    <t>127313803</t>
  </si>
  <si>
    <t>1700854288</t>
  </si>
  <si>
    <t>Lamb Healthcare Center</t>
  </si>
  <si>
    <t>Lamb</t>
  </si>
  <si>
    <t>127319504</t>
  </si>
  <si>
    <t>1437171568</t>
  </si>
  <si>
    <t>Covenant Children'S Hospital</t>
  </si>
  <si>
    <t>Lubbock</t>
  </si>
  <si>
    <t>130605205</t>
  </si>
  <si>
    <t>1700885076</t>
  </si>
  <si>
    <t>Nacogdoches Medical Center</t>
  </si>
  <si>
    <t>Nacogdoches</t>
  </si>
  <si>
    <t>130616909</t>
  </si>
  <si>
    <t>1760598692</t>
  </si>
  <si>
    <t>Pecos County Memorial Hospital</t>
  </si>
  <si>
    <t>Pecos</t>
  </si>
  <si>
    <t>130618504</t>
  </si>
  <si>
    <t>1811916901</t>
  </si>
  <si>
    <t>Terry Memorial Hospital District</t>
  </si>
  <si>
    <t>Terry</t>
  </si>
  <si>
    <t>130826407</t>
  </si>
  <si>
    <t>1639176456</t>
  </si>
  <si>
    <t>Coon Memorial Hospital</t>
  </si>
  <si>
    <t>Dallam</t>
  </si>
  <si>
    <t>130959304</t>
  </si>
  <si>
    <t>1679678767</t>
  </si>
  <si>
    <t>Matagorda Regional Medical Center</t>
  </si>
  <si>
    <t>Matagorda</t>
  </si>
  <si>
    <t>437483702</t>
  </si>
  <si>
    <t>Nacogdoches Memorial Hospital</t>
  </si>
  <si>
    <t>131038504</t>
  </si>
  <si>
    <t>1598750721</t>
  </si>
  <si>
    <t>Hunt Memorial Hospital District</t>
  </si>
  <si>
    <t>133244705</t>
  </si>
  <si>
    <t>1275581852</t>
  </si>
  <si>
    <t>Rolling Plains Memorial Hospital</t>
  </si>
  <si>
    <t>Nolan</t>
  </si>
  <si>
    <t>133250406</t>
  </si>
  <si>
    <t>1326079534</t>
  </si>
  <si>
    <t>Childress Regional Medical Center</t>
  </si>
  <si>
    <t>Childress</t>
  </si>
  <si>
    <t>133252009</t>
  </si>
  <si>
    <t>1992285282</t>
  </si>
  <si>
    <t>Hill Regional Hospital</t>
  </si>
  <si>
    <t>Hill</t>
  </si>
  <si>
    <t>133258705</t>
  </si>
  <si>
    <t>1225146400</t>
  </si>
  <si>
    <t>Coventant Hospital Levelland</t>
  </si>
  <si>
    <t>Hockley</t>
  </si>
  <si>
    <t>133355104</t>
  </si>
  <si>
    <t>1205900370</t>
  </si>
  <si>
    <t>Harris Health System</t>
  </si>
  <si>
    <t>133544006</t>
  </si>
  <si>
    <t>1568454403</t>
  </si>
  <si>
    <t>Hereford Regional Medical Center</t>
  </si>
  <si>
    <t>Deaf Smith</t>
  </si>
  <si>
    <t>135032405</t>
  </si>
  <si>
    <t>1528027786</t>
  </si>
  <si>
    <t>Methodist Dallas Medical Center</t>
  </si>
  <si>
    <t>135033210</t>
  </si>
  <si>
    <t>1740238641</t>
  </si>
  <si>
    <t>Columbus Community Hospital</t>
  </si>
  <si>
    <t>Colorado</t>
  </si>
  <si>
    <t>135035706</t>
  </si>
  <si>
    <t>1861488579</t>
  </si>
  <si>
    <t>Knapp Medical Center</t>
  </si>
  <si>
    <t>135036506</t>
  </si>
  <si>
    <t>1669472387</t>
  </si>
  <si>
    <t>Baylor Scott &amp; White Medical Center - Fort Worth</t>
  </si>
  <si>
    <t>135225404</t>
  </si>
  <si>
    <t>1164526786</t>
  </si>
  <si>
    <t>Ascension Seton Medical Center Austin</t>
  </si>
  <si>
    <t>135226205</t>
  </si>
  <si>
    <t>1154315307</t>
  </si>
  <si>
    <t>Baylor Scott &amp; White Medical Center - Brenham</t>
  </si>
  <si>
    <t>Washington</t>
  </si>
  <si>
    <t>135235306</t>
  </si>
  <si>
    <t>1740273994</t>
  </si>
  <si>
    <t>Medical Center Health System</t>
  </si>
  <si>
    <t>135237906</t>
  </si>
  <si>
    <t>1023013448</t>
  </si>
  <si>
    <t>United Regional Health Care System</t>
  </si>
  <si>
    <t>Wichita</t>
  </si>
  <si>
    <t>136141205</t>
  </si>
  <si>
    <t>1821011248</t>
  </si>
  <si>
    <t>University Health</t>
  </si>
  <si>
    <t>136143806</t>
  </si>
  <si>
    <t>1255325817</t>
  </si>
  <si>
    <t>Midland Memorial Hospital</t>
  </si>
  <si>
    <t>Midland</t>
  </si>
  <si>
    <t>136330112</t>
  </si>
  <si>
    <t>1578588463</t>
  </si>
  <si>
    <t>Cogdell Memorial Hospital</t>
  </si>
  <si>
    <t>Scurry</t>
  </si>
  <si>
    <t>136332705</t>
  </si>
  <si>
    <t>1760567085</t>
  </si>
  <si>
    <t>Starr County Memorial Hospital</t>
  </si>
  <si>
    <t>Starr</t>
  </si>
  <si>
    <t>136436606</t>
  </si>
  <si>
    <t>1093783391</t>
  </si>
  <si>
    <t>CHRISTUS Spohn Hospital Kleberg</t>
  </si>
  <si>
    <t>Kleberg</t>
  </si>
  <si>
    <t>137226005</t>
  </si>
  <si>
    <t>1992707228</t>
  </si>
  <si>
    <t>Shannon Medical Center</t>
  </si>
  <si>
    <t>137227806</t>
  </si>
  <si>
    <t>1790702371</t>
  </si>
  <si>
    <t>Yoakum County Hospital</t>
  </si>
  <si>
    <t>Yoakum</t>
  </si>
  <si>
    <t>137245009</t>
  </si>
  <si>
    <t>1467442418</t>
  </si>
  <si>
    <t>Northwest Texas Health Care System</t>
  </si>
  <si>
    <t>Potter</t>
  </si>
  <si>
    <t>137249208</t>
  </si>
  <si>
    <t>1477516466</t>
  </si>
  <si>
    <t>Baylor Scott &amp; White Medical Center - Temple</t>
  </si>
  <si>
    <t>137805107</t>
  </si>
  <si>
    <t>1982666111</t>
  </si>
  <si>
    <t>Memorial Hermann Texas Medical Center</t>
  </si>
  <si>
    <t>137999206</t>
  </si>
  <si>
    <t>1821087164</t>
  </si>
  <si>
    <t>UMC Health System</t>
  </si>
  <si>
    <t>138296208</t>
  </si>
  <si>
    <t>1679557888</t>
  </si>
  <si>
    <t>DBA CHRISTUS Hospital</t>
  </si>
  <si>
    <t>138353107</t>
  </si>
  <si>
    <t>1194893263</t>
  </si>
  <si>
    <t>Seymour Hospital</t>
  </si>
  <si>
    <t>Baylor</t>
  </si>
  <si>
    <t>138644310</t>
  </si>
  <si>
    <t>1528064649</t>
  </si>
  <si>
    <t>Hendrick Medical Center</t>
  </si>
  <si>
    <t>Taylor</t>
  </si>
  <si>
    <t>138911619</t>
  </si>
  <si>
    <t>1437148020</t>
  </si>
  <si>
    <t>Cuero Regional Hospital</t>
  </si>
  <si>
    <t>DeWitt</t>
  </si>
  <si>
    <t>138913209</t>
  </si>
  <si>
    <t>1174526529</t>
  </si>
  <si>
    <t>Titus Regional Medical Center</t>
  </si>
  <si>
    <t>Titus</t>
  </si>
  <si>
    <t>138950412</t>
  </si>
  <si>
    <t>1972590602</t>
  </si>
  <si>
    <t>Palo Pinto General Hospital</t>
  </si>
  <si>
    <t>Palo Pinto</t>
  </si>
  <si>
    <t>138951211</t>
  </si>
  <si>
    <t>1316936990</t>
  </si>
  <si>
    <t>University Medical Center Of El Paso</t>
  </si>
  <si>
    <t>138962907</t>
  </si>
  <si>
    <t>1891882833</t>
  </si>
  <si>
    <t>Hillcrest Baptist Medical Center</t>
  </si>
  <si>
    <t>139485012</t>
  </si>
  <si>
    <t>1447250253</t>
  </si>
  <si>
    <t>Baylor Scott &amp; White Medical Center - Dallas</t>
  </si>
  <si>
    <t>140714001</t>
  </si>
  <si>
    <t>1861487779</t>
  </si>
  <si>
    <t>Limestone Medical Center</t>
  </si>
  <si>
    <t>159156201</t>
  </si>
  <si>
    <t>1598744856</t>
  </si>
  <si>
    <t>Baptist Health System</t>
  </si>
  <si>
    <t>160709501</t>
  </si>
  <si>
    <t>1053317362</t>
  </si>
  <si>
    <t>Doctors Hospital At Renaissance, Ltd</t>
  </si>
  <si>
    <t>162033801</t>
  </si>
  <si>
    <t>1548232044</t>
  </si>
  <si>
    <t>Laredo Medical Center</t>
  </si>
  <si>
    <t>163111101</t>
  </si>
  <si>
    <t>1063411767</t>
  </si>
  <si>
    <t>Paris Regional Medical Center</t>
  </si>
  <si>
    <t>Lamar</t>
  </si>
  <si>
    <t>163925401</t>
  </si>
  <si>
    <t>1861467573</t>
  </si>
  <si>
    <t>The Medical Center Of Southeast Texas</t>
  </si>
  <si>
    <t>175965601</t>
  </si>
  <si>
    <t>1861598633</t>
  </si>
  <si>
    <t>Kingwood Pines Hospital</t>
  </si>
  <si>
    <t>181706601</t>
  </si>
  <si>
    <t>1154361475</t>
  </si>
  <si>
    <t>St. Joseph Medical Center</t>
  </si>
  <si>
    <t>193867201</t>
  </si>
  <si>
    <t>1740450121</t>
  </si>
  <si>
    <t>HCA Houston Healthcare Northwest</t>
  </si>
  <si>
    <t>194997601</t>
  </si>
  <si>
    <t>1851390967</t>
  </si>
  <si>
    <t>Texoma Medical Center</t>
  </si>
  <si>
    <t>Grayson</t>
  </si>
  <si>
    <t>197063401</t>
  </si>
  <si>
    <t>1841497153</t>
  </si>
  <si>
    <t>Golden Plains Community Hospital</t>
  </si>
  <si>
    <t>Hutchinson</t>
  </si>
  <si>
    <t>207311601</t>
  </si>
  <si>
    <t>1114903523</t>
  </si>
  <si>
    <t>Wadley Regional Medical Center</t>
  </si>
  <si>
    <t>208013701</t>
  </si>
  <si>
    <t>1619115383</t>
  </si>
  <si>
    <t>Ascension Seton Hays</t>
  </si>
  <si>
    <t>Hays</t>
  </si>
  <si>
    <t>212060201</t>
  </si>
  <si>
    <t>1205164928</t>
  </si>
  <si>
    <t>Rice Medical Center</t>
  </si>
  <si>
    <t>217884004</t>
  </si>
  <si>
    <t>1326134255</t>
  </si>
  <si>
    <t>Dimmit Regional Hospital</t>
  </si>
  <si>
    <t>Dimmit</t>
  </si>
  <si>
    <t>292096901</t>
  </si>
  <si>
    <t>1154618742</t>
  </si>
  <si>
    <t>Valley Baptist Medical Center Harlingen</t>
  </si>
  <si>
    <t>294543801</t>
  </si>
  <si>
    <t>1184911877</t>
  </si>
  <si>
    <t>Valley Baptist Medical Center Brownsville</t>
  </si>
  <si>
    <t>308032701</t>
  </si>
  <si>
    <t>1386902138</t>
  </si>
  <si>
    <t>Pampa Regional Medical Center</t>
  </si>
  <si>
    <t>Gray</t>
  </si>
  <si>
    <t>314080801</t>
  </si>
  <si>
    <t>1033120423</t>
  </si>
  <si>
    <t>Texas Health Huguley Hosptial Fort Worth South</t>
  </si>
  <si>
    <t>Johnson</t>
  </si>
  <si>
    <t>315440301</t>
  </si>
  <si>
    <t>1760628184</t>
  </si>
  <si>
    <t>NA</t>
  </si>
  <si>
    <t>316360201</t>
  </si>
  <si>
    <t>1407121189</t>
  </si>
  <si>
    <t>Coleman County Medical Center</t>
  </si>
  <si>
    <t>Coleman</t>
  </si>
  <si>
    <t>322879301</t>
  </si>
  <si>
    <t>1407191984</t>
  </si>
  <si>
    <t>Baptist St. Anthony's Hospital</t>
  </si>
  <si>
    <t>326725404</t>
  </si>
  <si>
    <t>1265772362</t>
  </si>
  <si>
    <t>Scott &amp; White Hospital - College Station</t>
  </si>
  <si>
    <t>1457791105</t>
  </si>
  <si>
    <t>333366801</t>
  </si>
  <si>
    <t>1750620456</t>
  </si>
  <si>
    <t>Oceans Behavioral Hospital Of Abilene, LLC</t>
  </si>
  <si>
    <t>336658501</t>
  </si>
  <si>
    <t>1396184180</t>
  </si>
  <si>
    <t>Oceans Behavioral Hospital Of The Permian Basin</t>
  </si>
  <si>
    <t>339487601</t>
  </si>
  <si>
    <t>1366880627</t>
  </si>
  <si>
    <t>Mesa Springs, LLC</t>
  </si>
  <si>
    <t>344854001</t>
  </si>
  <si>
    <t>1215354899</t>
  </si>
  <si>
    <t>Westpark Springs, LLC</t>
  </si>
  <si>
    <t>345305201</t>
  </si>
  <si>
    <t>1275956807</t>
  </si>
  <si>
    <t>Georgetown Behavioral Health Institute, Llc</t>
  </si>
  <si>
    <t>Williamson</t>
  </si>
  <si>
    <t>348990801</t>
  </si>
  <si>
    <t>1689098790</t>
  </si>
  <si>
    <t>Houston Behavioral Healthcare Hospital</t>
  </si>
  <si>
    <t>349059101</t>
  </si>
  <si>
    <t>1871917971</t>
  </si>
  <si>
    <t>San Antonio Behavioral Healthcare Hospital</t>
  </si>
  <si>
    <t>354018901</t>
  </si>
  <si>
    <t>1790174860</t>
  </si>
  <si>
    <t>Dallas Regional Medical Center</t>
  </si>
  <si>
    <t>361635101</t>
  </si>
  <si>
    <t>1003282039</t>
  </si>
  <si>
    <t>SUN Behavioral Houston</t>
  </si>
  <si>
    <t>366812101</t>
  </si>
  <si>
    <t>1033568621</t>
  </si>
  <si>
    <t>CHRISTUS Mother Frances Hospital - Sulphur Springs</t>
  </si>
  <si>
    <t>Hopkins</t>
  </si>
  <si>
    <t>371439601</t>
  </si>
  <si>
    <t>1154782548</t>
  </si>
  <si>
    <t>Palms Behavioral Health</t>
  </si>
  <si>
    <t>387381201</t>
  </si>
  <si>
    <t>1730697350</t>
  </si>
  <si>
    <t>UT Health Jacksonville</t>
  </si>
  <si>
    <t>Cherokee</t>
  </si>
  <si>
    <t>1417465824</t>
  </si>
  <si>
    <t>UT Health Athens</t>
  </si>
  <si>
    <t>Henderson</t>
  </si>
  <si>
    <t>388347201</t>
  </si>
  <si>
    <t>1407364847</t>
  </si>
  <si>
    <t>UT Health Tyler</t>
  </si>
  <si>
    <t>391264401</t>
  </si>
  <si>
    <t>1740791748</t>
  </si>
  <si>
    <t>Woodland Springs, Llc</t>
  </si>
  <si>
    <t>391575301</t>
  </si>
  <si>
    <t>1083112023</t>
  </si>
  <si>
    <t>White Rock Medical Center</t>
  </si>
  <si>
    <t>401736001</t>
  </si>
  <si>
    <t>1104383371</t>
  </si>
  <si>
    <t>Goodall-Witcher Hospital</t>
  </si>
  <si>
    <t>Bosque</t>
  </si>
  <si>
    <t>405102101</t>
  </si>
  <si>
    <t>1285191452</t>
  </si>
  <si>
    <t>Scenic Mountain Medical Center</t>
  </si>
  <si>
    <t>406443801</t>
  </si>
  <si>
    <t>1346805520</t>
  </si>
  <si>
    <t>Perimeter Behavioral Hospital Of Arlington, Llc</t>
  </si>
  <si>
    <t>408236401</t>
  </si>
  <si>
    <t>Perimeter Behavioral Hospital Of Dallas</t>
  </si>
  <si>
    <t>408600101</t>
  </si>
  <si>
    <t>1972517365</t>
  </si>
  <si>
    <t>Covenant Medical Center</t>
  </si>
  <si>
    <t>415580601</t>
  </si>
  <si>
    <t>1447883301</t>
  </si>
  <si>
    <t>DBA CHRISTUS Santa Rosa Hospital-San Marcos</t>
  </si>
  <si>
    <t>420957901</t>
  </si>
  <si>
    <t>1184233785</t>
  </si>
  <si>
    <t>Hendrick Medical Center Brownwood</t>
  </si>
  <si>
    <t>Brown</t>
  </si>
  <si>
    <t>NEGATIVE STATE PAYMENT CAP</t>
  </si>
  <si>
    <t>Purpose: Provide list of hospitals that qualified for DSH but have a negative State Payment Cap</t>
  </si>
  <si>
    <t>Instructions: This sheet is formula driven; verify there are enough rows to capture all data</t>
  </si>
  <si>
    <t xml:space="preserve">Master TPI </t>
  </si>
  <si>
    <t>Provider Name</t>
  </si>
  <si>
    <t>Children's Hospital Of San Antonio</t>
  </si>
  <si>
    <t>094164302</t>
  </si>
  <si>
    <t>Woodland Heights Medical Center</t>
  </si>
  <si>
    <t>110803703</t>
  </si>
  <si>
    <t>Fort Duncan Regional Medical Center</t>
  </si>
  <si>
    <t>112701102</t>
  </si>
  <si>
    <t>Navarro Regional Hospital</t>
  </si>
  <si>
    <t>112712802</t>
  </si>
  <si>
    <t>The Woman's Hospital of Texas</t>
  </si>
  <si>
    <t>130601104</t>
  </si>
  <si>
    <t>The Hospitals Of Providence - Memorial Campus</t>
  </si>
  <si>
    <t>132812205</t>
  </si>
  <si>
    <t>Driscoll Children'S Hospital</t>
  </si>
  <si>
    <t>138910807</t>
  </si>
  <si>
    <t>Children's Medical Center Of Dallas</t>
  </si>
  <si>
    <t>139135109</t>
  </si>
  <si>
    <t>Texas Children's Hospital</t>
  </si>
  <si>
    <t>186599001</t>
  </si>
  <si>
    <t>Dell Children's Medical Center</t>
  </si>
  <si>
    <t>354178101</t>
  </si>
  <si>
    <t>Children's Medical Center Of Plano</t>
  </si>
  <si>
    <t>PAYMENT TEAM OUTPUT</t>
  </si>
  <si>
    <t>Purpose: Provide a pre-made output of data to share with the Payments Team</t>
  </si>
  <si>
    <t>Instructions: Verify the rows capture all data from the Non-State Pool tab</t>
  </si>
  <si>
    <t>Affiliation Number</t>
  </si>
  <si>
    <t>YTD Advance Payment</t>
  </si>
  <si>
    <t>YTD Advance IGT</t>
  </si>
  <si>
    <t>DSH Final Payment</t>
  </si>
  <si>
    <t>DSH Final IGT</t>
  </si>
  <si>
    <t>IGT from Reduced DSH Payment based recoup not collected</t>
  </si>
  <si>
    <t>DSH Payment Including Pass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</si>
</sst>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0.00\ ;&quot; $&quot;* \(#,##0.00\);&quot; $&quot;* \-#\ ;\ @\ "/>
    <numFmt numFmtId="165" formatCode="&quot; $&quot;* #,##0\ ;&quot; $&quot;* \(#,##0\);&quot; $&quot;* \-#\ ;\ @\ "/>
    <numFmt numFmtId="166" formatCode="_(&quot;$&quot;* #,##0_);_(&quot;$&quot;* \(#,##0\);_(&quot;$&quot;* &quot;-&quot;??_);_(@_)"/>
    <numFmt numFmtId="167" formatCode="0.0"/>
    <numFmt numFmtId="168" formatCode="&quot;$&quot;#,##0"/>
    <numFmt numFmtId="169" formatCode="&quot;$&quot;#,##0.00"/>
    <numFmt numFmtId="170" formatCode="\$#,##0"/>
    <numFmt numFmtId="171" formatCode="\$#,##0.00"/>
    <numFmt numFmtId="172" formatCode="&quot; $&quot;* #,##0.0\ ;&quot; $&quot;* \(#,##0.0\);&quot; $&quot;* \-#.0\ ;\ @\ "/>
    <numFmt numFmtId="173" formatCode="_([$$-409]* #,##0.00_);_([$$-409]* \(#,##0.00\);_([$$-409]* &quot;-&quot;??_);_(@_)"/>
    <numFmt numFmtId="174" formatCode="&quot;TRUE&quot;;&quot;TRUE&quot;;&quot;FALSE&quot;"/>
    <numFmt numFmtId="175" formatCode="0.00000%"/>
    <numFmt numFmtId="176" formatCode="0.0000"/>
    <numFmt numFmtId="177" formatCode="\ * #,##0.00\ ;\ * \(#,##0.00\);\ * \-#\ ;\ @\ "/>
    <numFmt numFmtId="178" formatCode="&quot; $&quot;* #,##0.00\ ;&quot; $&quot;* \(#,##0.00\);&quot; $&quot;* \-#.00\ ;\ @\ "/>
    <numFmt numFmtId="179" formatCode="0.000%"/>
    <numFmt numFmtId="180" formatCode="\$#,##0\ ;[Red]&quot;($&quot;#,##0\)"/>
    <numFmt numFmtId="181" formatCode="0.00000"/>
    <numFmt numFmtId="182" formatCode="\ * #,##0\ ;\ * \(#,##0\);\ * \-#\ ;\ @\ "/>
    <numFmt numFmtId="183" formatCode="\$#,##0.00\ ;[Red]&quot;($&quot;#,##0.00\)"/>
    <numFmt numFmtId="184" formatCode="#,##0.0000_);[Red]\(#,##0.0000\)"/>
    <numFmt numFmtId="185" formatCode="#,##0;[Red]#,##0"/>
    <numFmt numFmtId="186" formatCode="\ * #,##0.00\ ;\ * \(#,##0.00\);\ * \-#.00\ ;\ @\ "/>
    <numFmt numFmtId="187" formatCode="\$#,##0\ ;&quot;($&quot;#,##0\)"/>
    <numFmt numFmtId="188" formatCode="0.0000%"/>
    <numFmt numFmtId="189" formatCode="&quot; $&quot;* #,##0.0\ ;&quot; $&quot;* \(#,##0.0\);&quot; $&quot;* \-#\ ;\ @\ "/>
  </numFmts>
  <fonts count="93" x14ac:knownFonts="1">
    <font>
      <sz val="11"/>
      <color rgb="FF000000"/>
      <name val="Calibri"/>
      <family val="2"/>
      <charset val="1"/>
    </font>
    <font>
      <sz val="11"/>
      <color rgb="FF000000"/>
      <name val="Calibri"/>
      <family val="2"/>
      <charset val="1"/>
    </font>
    <font>
      <b/>
      <sz val="16"/>
      <color theme="0"/>
      <name val="Calibri"/>
      <family val="2"/>
      <scheme val="minor"/>
    </font>
    <font>
      <b/>
      <sz val="14"/>
      <color indexed="14"/>
      <name val="Calibri"/>
      <family val="2"/>
      <scheme val="minor"/>
    </font>
    <font>
      <b/>
      <sz val="12"/>
      <color theme="0"/>
      <name val="Calibri"/>
      <family val="2"/>
      <scheme val="minor"/>
    </font>
    <font>
      <i/>
      <sz val="10"/>
      <color rgb="FF000000"/>
      <name val="Calibri"/>
      <family val="2"/>
      <scheme val="minor"/>
    </font>
    <font>
      <sz val="11"/>
      <color rgb="FF000000"/>
      <name val="Calibri"/>
      <family val="2"/>
      <scheme val="minor"/>
    </font>
    <font>
      <b/>
      <sz val="11"/>
      <color rgb="FF000000"/>
      <name val="Calibri"/>
      <family val="2"/>
    </font>
    <font>
      <b/>
      <sz val="14"/>
      <color theme="0"/>
      <name val="Calibri"/>
      <family val="2"/>
      <scheme val="minor"/>
    </font>
    <font>
      <b/>
      <sz val="14"/>
      <color theme="0"/>
      <name val="Calibri"/>
      <family val="2"/>
    </font>
    <font>
      <sz val="14"/>
      <color rgb="FF000000"/>
      <name val="Calibri"/>
      <family val="2"/>
    </font>
    <font>
      <b/>
      <sz val="11"/>
      <color theme="0"/>
      <name val="Calibri"/>
      <family val="2"/>
    </font>
    <font>
      <i/>
      <sz val="11"/>
      <color rgb="FFFF0000"/>
      <name val="Calibri"/>
      <family val="2"/>
    </font>
    <font>
      <b/>
      <sz val="12"/>
      <color theme="0"/>
      <name val="Calibri"/>
      <family val="2"/>
    </font>
    <font>
      <sz val="12"/>
      <color rgb="FF000000"/>
      <name val="Calibri"/>
      <family val="2"/>
    </font>
    <font>
      <i/>
      <sz val="11"/>
      <color rgb="FF000000"/>
      <name val="Calibri"/>
      <family val="2"/>
    </font>
    <font>
      <b/>
      <sz val="14"/>
      <color rgb="FF000000"/>
      <name val="Calibri"/>
      <family val="2"/>
      <scheme val="minor"/>
    </font>
    <font>
      <sz val="11"/>
      <color theme="0"/>
      <name val="Calibri"/>
      <family val="2"/>
    </font>
    <font>
      <sz val="11"/>
      <name val="Calibri"/>
      <family val="2"/>
    </font>
    <font>
      <b/>
      <sz val="11"/>
      <name val="Calibri"/>
      <family val="2"/>
    </font>
    <font>
      <sz val="11"/>
      <color theme="1"/>
      <name val="Calibri"/>
      <family val="2"/>
      <charset val="1"/>
    </font>
    <font>
      <sz val="11"/>
      <name val="Calibri"/>
      <family val="2"/>
      <charset val="1"/>
    </font>
    <font>
      <b/>
      <sz val="10"/>
      <name val="Open Sans"/>
      <family val="2"/>
    </font>
    <font>
      <b/>
      <sz val="10"/>
      <color theme="0"/>
      <name val="Open Sans"/>
      <family val="2"/>
    </font>
    <font>
      <b/>
      <sz val="10"/>
      <color rgb="FF000000"/>
      <name val="Open Sans"/>
      <family val="2"/>
    </font>
    <font>
      <sz val="11"/>
      <color rgb="FF000000"/>
      <name val="Calibri"/>
      <family val="2"/>
    </font>
    <font>
      <b/>
      <sz val="11"/>
      <color rgb="FF000000"/>
      <name val="Calibri"/>
      <family val="2"/>
      <charset val="1"/>
    </font>
    <font>
      <b/>
      <sz val="10"/>
      <color rgb="FFFFFFFF"/>
      <name val="Open Sans"/>
      <family val="2"/>
    </font>
    <font>
      <b/>
      <sz val="12"/>
      <name val="Arial"/>
      <family val="2"/>
    </font>
    <font>
      <b/>
      <i/>
      <sz val="11"/>
      <color rgb="FF000000"/>
      <name val="Calibri"/>
      <family val="2"/>
    </font>
    <font>
      <i/>
      <sz val="11"/>
      <color rgb="FF000000"/>
      <name val="Calibri"/>
      <family val="2"/>
      <charset val="1"/>
    </font>
    <font>
      <sz val="11"/>
      <color rgb="FFFF0000"/>
      <name val="Calibri"/>
      <family val="2"/>
      <charset val="1"/>
    </font>
    <font>
      <sz val="10"/>
      <color rgb="FF000000"/>
      <name val="Calibri"/>
      <family val="2"/>
      <scheme val="minor"/>
    </font>
    <font>
      <b/>
      <sz val="14"/>
      <color theme="1"/>
      <name val="Calibri"/>
      <family val="2"/>
      <scheme val="minor"/>
    </font>
    <font>
      <b/>
      <u/>
      <sz val="14"/>
      <color theme="0"/>
      <name val="Calibri"/>
      <family val="2"/>
      <scheme val="minor"/>
    </font>
    <font>
      <sz val="14"/>
      <color theme="1"/>
      <name val="Calibri"/>
      <family val="2"/>
      <scheme val="minor"/>
    </font>
    <font>
      <b/>
      <u/>
      <sz val="13"/>
      <color theme="0"/>
      <name val="Calibri"/>
      <family val="2"/>
      <scheme val="minor"/>
    </font>
    <font>
      <sz val="11"/>
      <color theme="0"/>
      <name val="Calibri"/>
      <family val="2"/>
      <scheme val="minor"/>
    </font>
    <font>
      <sz val="11"/>
      <name val="Calibri"/>
      <family val="2"/>
      <scheme val="minor"/>
    </font>
    <font>
      <b/>
      <sz val="11"/>
      <color theme="0"/>
      <name val="Calibri"/>
      <family val="2"/>
      <scheme val="minor"/>
    </font>
    <font>
      <sz val="11"/>
      <color theme="1"/>
      <name val="Calibri"/>
      <family val="2"/>
      <scheme val="minor"/>
    </font>
    <font>
      <b/>
      <sz val="11"/>
      <color rgb="FF000000"/>
      <name val="Calibri"/>
      <family val="2"/>
      <scheme val="minor"/>
    </font>
    <font>
      <b/>
      <sz val="10"/>
      <color theme="0"/>
      <name val="Calibri"/>
      <family val="2"/>
      <scheme val="minor"/>
    </font>
    <font>
      <u/>
      <sz val="11"/>
      <color rgb="FF000000"/>
      <name val="Calibri"/>
      <family val="2"/>
      <scheme val="minor"/>
    </font>
    <font>
      <sz val="11"/>
      <color theme="9" tint="-0.249977111117893"/>
      <name val="Calibri"/>
      <family val="2"/>
      <scheme val="minor"/>
    </font>
    <font>
      <sz val="11"/>
      <color rgb="FFFF0000"/>
      <name val="Calibri"/>
      <family val="2"/>
      <scheme val="minor"/>
    </font>
    <font>
      <b/>
      <u/>
      <sz val="12"/>
      <color theme="0"/>
      <name val="Calibri"/>
      <family val="2"/>
      <scheme val="minor"/>
    </font>
    <font>
      <b/>
      <sz val="10"/>
      <color rgb="FF000000"/>
      <name val="Calibri"/>
      <family val="2"/>
      <scheme val="minor"/>
    </font>
    <font>
      <sz val="10"/>
      <color rgb="FFFF0000"/>
      <name val="Calibri"/>
      <family val="2"/>
      <scheme val="minor"/>
    </font>
    <font>
      <sz val="10"/>
      <color theme="0"/>
      <name val="Calibri"/>
      <family val="2"/>
      <scheme val="minor"/>
    </font>
    <font>
      <sz val="10"/>
      <color theme="1"/>
      <name val="Calibri"/>
      <family val="2"/>
      <scheme val="minor"/>
    </font>
    <font>
      <b/>
      <sz val="10"/>
      <name val="Calibri"/>
      <family val="2"/>
      <scheme val="minor"/>
    </font>
    <font>
      <sz val="10"/>
      <name val="Calibri"/>
      <family val="2"/>
      <scheme val="minor"/>
    </font>
    <font>
      <i/>
      <sz val="11"/>
      <name val="Calibri"/>
      <family val="2"/>
      <scheme val="minor"/>
    </font>
    <font>
      <i/>
      <sz val="11"/>
      <color rgb="FF000000"/>
      <name val="Calibri"/>
      <family val="2"/>
      <scheme val="minor"/>
    </font>
    <font>
      <b/>
      <sz val="16"/>
      <color theme="0"/>
      <name val="Calibri"/>
      <family val="2"/>
      <charset val="1"/>
      <scheme val="minor"/>
    </font>
    <font>
      <b/>
      <sz val="14"/>
      <name val="Calibri"/>
      <family val="2"/>
      <scheme val="minor"/>
    </font>
    <font>
      <b/>
      <u/>
      <sz val="12"/>
      <color rgb="FF000000"/>
      <name val="Calibri"/>
      <family val="2"/>
      <scheme val="minor"/>
    </font>
    <font>
      <b/>
      <u/>
      <sz val="10"/>
      <name val="Calibri"/>
      <family val="2"/>
      <scheme val="minor"/>
    </font>
    <font>
      <b/>
      <i/>
      <sz val="10"/>
      <color theme="0"/>
      <name val="Calibri"/>
      <family val="2"/>
      <scheme val="minor"/>
    </font>
    <font>
      <i/>
      <sz val="10"/>
      <color theme="0" tint="-0.499984740745262"/>
      <name val="Calibri"/>
      <family val="2"/>
      <scheme val="minor"/>
    </font>
    <font>
      <u val="double"/>
      <sz val="10"/>
      <color rgb="FF000000"/>
      <name val="Calibri"/>
      <family val="2"/>
      <scheme val="minor"/>
    </font>
    <font>
      <b/>
      <sz val="10"/>
      <color theme="0" tint="-0.499984740745262"/>
      <name val="Calibri"/>
      <family val="2"/>
      <scheme val="minor"/>
    </font>
    <font>
      <sz val="10"/>
      <color theme="0" tint="-0.499984740745262"/>
      <name val="Calibri"/>
      <family val="2"/>
      <scheme val="minor"/>
    </font>
    <font>
      <i/>
      <sz val="10"/>
      <color rgb="FFFF0000"/>
      <name val="Calibri"/>
      <family val="2"/>
      <scheme val="minor"/>
    </font>
    <font>
      <b/>
      <sz val="12"/>
      <name val="Calibri"/>
      <family val="2"/>
      <scheme val="minor"/>
    </font>
    <font>
      <sz val="12"/>
      <name val="Calibri"/>
      <family val="2"/>
      <scheme val="minor"/>
    </font>
    <font>
      <sz val="12"/>
      <color rgb="FF000000"/>
      <name val="Calibri"/>
      <family val="2"/>
      <scheme val="minor"/>
    </font>
    <font>
      <b/>
      <sz val="16"/>
      <name val="Calibri"/>
      <family val="2"/>
      <scheme val="minor"/>
    </font>
    <font>
      <sz val="10"/>
      <color rgb="FF000000"/>
      <name val="Arial"/>
      <family val="2"/>
    </font>
    <font>
      <b/>
      <sz val="11"/>
      <color theme="1"/>
      <name val="Calibri"/>
      <family val="2"/>
    </font>
    <font>
      <b/>
      <sz val="10"/>
      <color theme="1"/>
      <name val="Arial"/>
      <family val="2"/>
    </font>
    <font>
      <sz val="10"/>
      <color rgb="FF000000"/>
      <name val="Arial"/>
      <family val="2"/>
      <charset val="1"/>
    </font>
    <font>
      <b/>
      <sz val="10"/>
      <color rgb="FF000000"/>
      <name val="Arial"/>
      <family val="2"/>
      <charset val="1"/>
    </font>
    <font>
      <b/>
      <sz val="10"/>
      <color rgb="FF000000"/>
      <name val="Arial"/>
      <family val="2"/>
    </font>
    <font>
      <sz val="10"/>
      <color theme="1"/>
      <name val="Arial"/>
      <family val="2"/>
    </font>
    <font>
      <sz val="10"/>
      <color rgb="FFFF0000"/>
      <name val="Arial"/>
      <family val="2"/>
      <charset val="1"/>
    </font>
    <font>
      <sz val="10"/>
      <color theme="9"/>
      <name val="Arial"/>
      <family val="2"/>
      <charset val="1"/>
    </font>
    <font>
      <sz val="10"/>
      <color rgb="FFFF0000"/>
      <name val="Arial"/>
      <family val="2"/>
    </font>
    <font>
      <b/>
      <i/>
      <sz val="10"/>
      <color theme="0" tint="-0.499984740745262"/>
      <name val="Calibri"/>
      <family val="2"/>
      <scheme val="minor"/>
    </font>
    <font>
      <i/>
      <sz val="8"/>
      <color rgb="FF000000"/>
      <name val="Calibri"/>
      <family val="2"/>
    </font>
    <font>
      <b/>
      <sz val="10"/>
      <color theme="0"/>
      <name val="Arial"/>
      <family val="2"/>
      <charset val="1"/>
    </font>
    <font>
      <b/>
      <sz val="10"/>
      <color theme="9"/>
      <name val="Arial"/>
      <family val="2"/>
      <charset val="1"/>
    </font>
    <font>
      <b/>
      <sz val="12"/>
      <color theme="1"/>
      <name val="Calibri"/>
      <family val="2"/>
      <scheme val="minor"/>
    </font>
    <font>
      <b/>
      <sz val="10"/>
      <color theme="0"/>
      <name val="Arial"/>
      <family val="2"/>
    </font>
    <font>
      <b/>
      <sz val="10"/>
      <color rgb="FFFFFFFF"/>
      <name val="Arial"/>
      <family val="2"/>
      <charset val="1"/>
    </font>
    <font>
      <b/>
      <sz val="10"/>
      <name val="Arial"/>
      <family val="2"/>
    </font>
    <font>
      <b/>
      <sz val="10"/>
      <name val="Arial"/>
      <family val="2"/>
      <charset val="1"/>
    </font>
    <font>
      <sz val="10"/>
      <name val="Arial"/>
      <family val="2"/>
      <charset val="1"/>
    </font>
    <font>
      <b/>
      <sz val="9"/>
      <color indexed="81"/>
      <name val="Tahoma"/>
      <family val="2"/>
    </font>
    <font>
      <b/>
      <sz val="14"/>
      <color indexed="14"/>
      <name val="Calibri"/>
      <family val="2"/>
      <charset val="1"/>
    </font>
    <font>
      <b/>
      <sz val="14"/>
      <color indexed="14"/>
      <name val="Arial"/>
      <family val="2"/>
    </font>
    <font>
      <b/>
      <sz val="11"/>
      <color rgb="FFFFFFFF"/>
      <name val="Calibri"/>
      <family val="2"/>
      <scheme val="minor"/>
    </font>
  </fonts>
  <fills count="36">
    <fill>
      <patternFill patternType="none"/>
    </fill>
    <fill>
      <patternFill patternType="gray125"/>
    </fill>
    <fill>
      <patternFill patternType="solid">
        <fgColor theme="1"/>
        <bgColor indexed="64"/>
      </patternFill>
    </fill>
    <fill>
      <patternFill patternType="solid">
        <fgColor theme="9"/>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E6EBF6"/>
        <bgColor rgb="FF000000"/>
      </patternFill>
    </fill>
    <fill>
      <patternFill patternType="solid">
        <fgColor theme="4" tint="0.79998168889431442"/>
        <bgColor indexed="64"/>
      </patternFill>
    </fill>
    <fill>
      <patternFill patternType="solid">
        <fgColor rgb="FF000000"/>
        <bgColor rgb="FF000000"/>
      </patternFill>
    </fill>
    <fill>
      <patternFill patternType="solid">
        <fgColor rgb="FFA6A6A6"/>
        <bgColor rgb="FF000000"/>
      </patternFill>
    </fill>
    <fill>
      <patternFill patternType="solid">
        <fgColor theme="1"/>
        <bgColor rgb="FF000000"/>
      </patternFill>
    </fill>
    <fill>
      <patternFill patternType="solid">
        <fgColor theme="7" tint="0.79998168889431442"/>
        <bgColor rgb="FFC4D2AD"/>
      </patternFill>
    </fill>
    <fill>
      <patternFill patternType="solid">
        <fgColor theme="8" tint="0.79998168889431442"/>
        <bgColor indexed="64"/>
      </patternFill>
    </fill>
    <fill>
      <patternFill patternType="solid">
        <fgColor theme="9" tint="0.59999389629810485"/>
        <bgColor rgb="FFCCC1DA"/>
      </patternFill>
    </fill>
    <fill>
      <patternFill patternType="solid">
        <fgColor theme="6" tint="0.59999389629810485"/>
        <bgColor indexed="64"/>
      </patternFill>
    </fill>
    <fill>
      <patternFill patternType="solid">
        <fgColor rgb="FFDDEBF7"/>
        <bgColor rgb="FF000000"/>
      </patternFill>
    </fill>
    <fill>
      <patternFill patternType="solid">
        <fgColor theme="9" tint="0.59999389629810485"/>
        <bgColor indexed="64"/>
      </patternFill>
    </fill>
    <fill>
      <patternFill patternType="solid">
        <fgColor theme="7"/>
        <bgColor indexed="64"/>
      </patternFill>
    </fill>
    <fill>
      <patternFill patternType="solid">
        <fgColor rgb="FF8ABC8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rgb="FFFFCA00"/>
      </patternFill>
    </fill>
    <fill>
      <patternFill patternType="solid">
        <fgColor rgb="FFFFC000"/>
        <bgColor rgb="FFFFCA00"/>
      </patternFill>
    </fill>
    <fill>
      <patternFill patternType="solid">
        <fgColor rgb="FFFF0000"/>
        <bgColor indexed="64"/>
      </patternFill>
    </fill>
    <fill>
      <patternFill patternType="solid">
        <fgColor rgb="FFFFFF00"/>
        <bgColor indexed="64"/>
      </patternFill>
    </fill>
    <fill>
      <patternFill patternType="solid">
        <fgColor theme="9" tint="-0.499984740745262"/>
        <bgColor indexed="64"/>
      </patternFill>
    </fill>
    <fill>
      <patternFill patternType="solid">
        <fgColor theme="1"/>
        <bgColor rgb="FF3883A9"/>
      </patternFill>
    </fill>
    <fill>
      <patternFill patternType="solid">
        <fgColor theme="9" tint="-0.499984740745262"/>
        <bgColor rgb="FF3883A9"/>
      </patternFill>
    </fill>
    <fill>
      <patternFill patternType="solid">
        <fgColor theme="1"/>
        <bgColor rgb="FF893363"/>
      </patternFill>
    </fill>
    <fill>
      <patternFill patternType="solid">
        <fgColor theme="5"/>
        <bgColor indexed="64"/>
      </patternFill>
    </fill>
    <fill>
      <patternFill patternType="solid">
        <fgColor rgb="FF000000"/>
        <bgColor rgb="FF1B3367"/>
      </patternFill>
    </fill>
    <fill>
      <patternFill patternType="solid">
        <fgColor theme="1"/>
        <bgColor rgb="FF84316B"/>
      </patternFill>
    </fill>
  </fills>
  <borders count="1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indexed="64"/>
      </bottom>
      <diagonal/>
    </border>
    <border>
      <left/>
      <right style="thin">
        <color theme="0"/>
      </right>
      <top/>
      <bottom style="thin">
        <color auto="1"/>
      </bottom>
      <diagonal/>
    </border>
    <border>
      <left/>
      <right style="medium">
        <color auto="1"/>
      </right>
      <top/>
      <bottom style="thin">
        <color indexed="64"/>
      </bottom>
      <diagonal/>
    </border>
    <border>
      <left style="medium">
        <color indexed="64"/>
      </left>
      <right/>
      <top style="thin">
        <color auto="1"/>
      </top>
      <bottom style="thin">
        <color auto="1"/>
      </bottom>
      <diagonal/>
    </border>
    <border>
      <left/>
      <right style="thin">
        <color theme="0"/>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double">
        <color theme="1"/>
      </bottom>
      <diagonal/>
    </border>
    <border>
      <left/>
      <right/>
      <top style="thin">
        <color auto="1"/>
      </top>
      <bottom style="double">
        <color theme="1"/>
      </bottom>
      <diagonal/>
    </border>
    <border>
      <left/>
      <right style="thin">
        <color theme="0"/>
      </right>
      <top style="thin">
        <color auto="1"/>
      </top>
      <bottom style="double">
        <color theme="1"/>
      </bottom>
      <diagonal/>
    </border>
    <border>
      <left/>
      <right style="medium">
        <color indexed="64"/>
      </right>
      <top style="thin">
        <color auto="1"/>
      </top>
      <bottom style="double">
        <color indexed="64"/>
      </bottom>
      <diagonal/>
    </border>
    <border>
      <left/>
      <right style="medium">
        <color indexed="64"/>
      </right>
      <top style="double">
        <color indexed="64"/>
      </top>
      <bottom style="thin">
        <color indexed="64"/>
      </bottom>
      <diagonal/>
    </border>
    <border>
      <left style="medium">
        <color auto="1"/>
      </left>
      <right/>
      <top/>
      <bottom style="medium">
        <color auto="1"/>
      </bottom>
      <diagonal/>
    </border>
    <border>
      <left/>
      <right/>
      <top/>
      <bottom style="medium">
        <color indexed="64"/>
      </bottom>
      <diagonal/>
    </border>
    <border>
      <left/>
      <right style="thin">
        <color theme="0"/>
      </right>
      <top/>
      <bottom style="medium">
        <color auto="1"/>
      </bottom>
      <diagonal/>
    </border>
    <border>
      <left/>
      <right style="medium">
        <color auto="1"/>
      </right>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rgb="FFFFFFFF"/>
      </left>
      <right style="medium">
        <color rgb="FFFFFFFF"/>
      </right>
      <top style="medium">
        <color rgb="FFFFFFFF"/>
      </top>
      <bottom/>
      <diagonal/>
    </border>
    <border>
      <left style="medium">
        <color rgb="FF7F7F7F"/>
      </left>
      <right/>
      <top/>
      <bottom/>
      <diagonal/>
    </border>
    <border>
      <left style="thin">
        <color auto="1"/>
      </left>
      <right/>
      <top style="thin">
        <color auto="1"/>
      </top>
      <bottom/>
      <diagonal/>
    </border>
    <border>
      <left style="medium">
        <color rgb="FF7F7F7F"/>
      </left>
      <right/>
      <top/>
      <bottom style="medium">
        <color rgb="FF7F7F7F"/>
      </bottom>
      <diagonal/>
    </border>
    <border>
      <left style="medium">
        <color rgb="FFFFFFFF"/>
      </left>
      <right/>
      <top/>
      <bottom/>
      <diagonal/>
    </border>
    <border>
      <left style="medium">
        <color rgb="FFFFFFFF"/>
      </left>
      <right style="medium">
        <color rgb="FFFFFFFF"/>
      </right>
      <top/>
      <bottom style="medium">
        <color rgb="FFFFFFFF"/>
      </bottom>
      <diagonal/>
    </border>
    <border>
      <left style="medium">
        <color rgb="FFFFFFFF"/>
      </left>
      <right/>
      <top/>
      <bottom style="thin">
        <color auto="1"/>
      </bottom>
      <diagonal/>
    </border>
    <border>
      <left style="thin">
        <color indexed="64"/>
      </left>
      <right style="medium">
        <color rgb="FF7F7F7F"/>
      </right>
      <top style="thin">
        <color indexed="64"/>
      </top>
      <bottom style="thin">
        <color indexed="64"/>
      </bottom>
      <diagonal/>
    </border>
    <border>
      <left style="thin">
        <color theme="0"/>
      </left>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top/>
      <bottom/>
      <diagonal/>
    </border>
    <border>
      <left/>
      <right style="thin">
        <color theme="9"/>
      </right>
      <top/>
      <bottom/>
      <diagonal/>
    </border>
    <border>
      <left style="thin">
        <color theme="0" tint="-0.499984740745262"/>
      </left>
      <right/>
      <top/>
      <bottom/>
      <diagonal/>
    </border>
    <border>
      <left/>
      <right/>
      <top/>
      <bottom style="medium">
        <color theme="1"/>
      </bottom>
      <diagonal/>
    </border>
    <border>
      <left style="thin">
        <color theme="0" tint="-0.499984740745262"/>
      </left>
      <right style="thin">
        <color theme="9"/>
      </right>
      <top style="thin">
        <color theme="0" tint="-0.499984740745262"/>
      </top>
      <bottom style="thin">
        <color theme="0" tint="-0.499984740745262"/>
      </bottom>
      <diagonal/>
    </border>
    <border>
      <left/>
      <right style="thin">
        <color theme="0" tint="-0.249977111117893"/>
      </right>
      <top/>
      <bottom/>
      <diagonal/>
    </border>
    <border>
      <left style="thin">
        <color theme="0" tint="-0.249977111117893"/>
      </left>
      <right style="medium">
        <color theme="1"/>
      </right>
      <top style="medium">
        <color theme="1"/>
      </top>
      <bottom/>
      <diagonal/>
    </border>
    <border>
      <left style="thin">
        <color theme="0" tint="-0.249977111117893"/>
      </left>
      <right style="medium">
        <color theme="1"/>
      </right>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medium">
        <color theme="0" tint="-0.14999847407452621"/>
      </top>
      <bottom style="medium">
        <color theme="0" tint="-0.14999847407452621"/>
      </bottom>
      <diagonal/>
    </border>
    <border>
      <left style="thin">
        <color indexed="64"/>
      </left>
      <right style="thin">
        <color indexed="64"/>
      </right>
      <top/>
      <bottom style="thin">
        <color rgb="FF000000"/>
      </bottom>
      <diagonal/>
    </border>
    <border>
      <left style="thin">
        <color indexed="64"/>
      </left>
      <right style="thin">
        <color indexed="64"/>
      </right>
      <top style="medium">
        <color theme="0" tint="-0.14999847407452621"/>
      </top>
      <bottom/>
      <diagonal/>
    </border>
    <border>
      <left/>
      <right/>
      <top style="thin">
        <color theme="0" tint="-0.249977111117893"/>
      </top>
      <bottom/>
      <diagonal/>
    </border>
    <border>
      <left style="thin">
        <color indexed="64"/>
      </left>
      <right style="thin">
        <color indexed="64"/>
      </right>
      <top style="thin">
        <color rgb="FF000000"/>
      </top>
      <bottom/>
      <diagonal/>
    </border>
    <border>
      <left style="thin">
        <color indexed="64"/>
      </left>
      <right style="thin">
        <color indexed="64"/>
      </right>
      <top style="medium">
        <color rgb="FFD9D9D9"/>
      </top>
      <bottom style="medium">
        <color rgb="FFD9D9D9"/>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theme="0" tint="-0.499984740745262"/>
      </left>
      <right style="thin">
        <color theme="0" tint="-0.499984740745262"/>
      </right>
      <top style="thin">
        <color theme="0" tint="-0.499984740745262"/>
      </top>
      <bottom style="thin">
        <color theme="9"/>
      </bottom>
      <diagonal/>
    </border>
    <border>
      <left style="thin">
        <color theme="0" tint="-0.499984740745262"/>
      </left>
      <right style="thin">
        <color theme="9"/>
      </right>
      <top style="thin">
        <color theme="0" tint="-0.499984740745262"/>
      </top>
      <bottom style="thin">
        <color theme="9"/>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medium">
        <color indexed="64"/>
      </right>
      <top style="medium">
        <color indexed="64"/>
      </top>
      <bottom/>
      <diagonal/>
    </border>
    <border>
      <left style="medium">
        <color auto="1"/>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thin">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auto="1"/>
      </left>
      <right style="thin">
        <color auto="1"/>
      </right>
      <top style="medium">
        <color indexed="64"/>
      </top>
      <bottom style="thin">
        <color auto="1"/>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style="thin">
        <color indexed="64"/>
      </right>
      <top style="medium">
        <color indexed="64"/>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theme="0"/>
      </left>
      <right style="thin">
        <color auto="1"/>
      </right>
      <top style="medium">
        <color indexed="64"/>
      </top>
      <bottom style="thin">
        <color auto="1"/>
      </bottom>
      <diagonal/>
    </border>
    <border>
      <left/>
      <right style="thin">
        <color indexed="64"/>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thin">
        <color indexed="64"/>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theme="0"/>
      </right>
      <top style="medium">
        <color indexed="64"/>
      </top>
      <bottom style="medium">
        <color indexed="64"/>
      </bottom>
      <diagonal/>
    </border>
    <border>
      <left/>
      <right style="thin">
        <color rgb="FFFFFFFF"/>
      </right>
      <top style="medium">
        <color indexed="64"/>
      </top>
      <bottom style="medium">
        <color indexed="64"/>
      </bottom>
      <diagonal/>
    </border>
    <border>
      <left style="thin">
        <color rgb="FFFFFFFF"/>
      </left>
      <right style="thin">
        <color rgb="FFFFFFFF"/>
      </right>
      <top style="medium">
        <color indexed="64"/>
      </top>
      <bottom style="medium">
        <color indexed="64"/>
      </bottom>
      <diagonal/>
    </border>
    <border>
      <left style="thin">
        <color rgb="FFFFFFFF"/>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177" fontId="1" fillId="0" borderId="0"/>
    <xf numFmtId="164" fontId="1" fillId="0" borderId="0"/>
    <xf numFmtId="9" fontId="1" fillId="0" borderId="0"/>
    <xf numFmtId="0" fontId="1" fillId="0" borderId="0"/>
  </cellStyleXfs>
  <cellXfs count="739">
    <xf numFmtId="0" fontId="0" fillId="0" borderId="0" xfId="0"/>
    <xf numFmtId="0" fontId="2" fillId="2" borderId="0" xfId="0" applyFont="1" applyFill="1"/>
    <xf numFmtId="0" fontId="3" fillId="2" borderId="0" xfId="0" applyFont="1" applyFill="1" applyAlignment="1">
      <alignment horizontal="center"/>
    </xf>
    <xf numFmtId="0" fontId="3" fillId="2" borderId="0" xfId="0" applyFont="1" applyFill="1"/>
    <xf numFmtId="0" fontId="4" fillId="3" borderId="0" xfId="0" applyFont="1" applyFill="1"/>
    <xf numFmtId="0" fontId="3" fillId="3" borderId="0" xfId="0" applyFont="1" applyFill="1" applyAlignment="1">
      <alignment horizontal="center"/>
    </xf>
    <xf numFmtId="0" fontId="3" fillId="3" borderId="0" xfId="0" applyFont="1" applyFill="1"/>
    <xf numFmtId="0" fontId="5" fillId="0" borderId="0" xfId="0" applyFont="1"/>
    <xf numFmtId="0" fontId="6" fillId="0" borderId="0" xfId="0" applyFont="1" applyAlignment="1">
      <alignment horizontal="center" vertical="center"/>
    </xf>
    <xf numFmtId="0" fontId="6" fillId="0" borderId="0" xfId="0" applyFont="1" applyAlignment="1">
      <alignment horizontal="center"/>
    </xf>
    <xf numFmtId="0" fontId="7" fillId="0" borderId="1" xfId="0" applyFont="1" applyBorder="1" applyAlignment="1">
      <alignment horizontal="center"/>
    </xf>
    <xf numFmtId="0" fontId="7" fillId="4" borderId="1" xfId="0" applyFont="1" applyFill="1" applyBorder="1" applyAlignment="1">
      <alignment horizontal="center" vertical="center"/>
    </xf>
    <xf numFmtId="0" fontId="6" fillId="0" borderId="0" xfId="0" applyFont="1"/>
    <xf numFmtId="0" fontId="8" fillId="5" borderId="0" xfId="0" applyFont="1" applyFill="1"/>
    <xf numFmtId="0" fontId="7" fillId="0" borderId="0" xfId="0" applyFont="1"/>
    <xf numFmtId="0" fontId="9" fillId="6" borderId="2" xfId="0" applyFont="1" applyFill="1" applyBorder="1" applyAlignment="1">
      <alignment horizontal="centerContinuous" vertical="center"/>
    </xf>
    <xf numFmtId="0" fontId="9" fillId="6" borderId="3" xfId="0" applyFont="1" applyFill="1" applyBorder="1" applyAlignment="1">
      <alignment horizontal="centerContinuous" vertical="center"/>
    </xf>
    <xf numFmtId="0" fontId="10" fillId="6" borderId="3" xfId="0" applyFont="1" applyFill="1" applyBorder="1" applyAlignment="1">
      <alignment horizontal="centerContinuous"/>
    </xf>
    <xf numFmtId="0" fontId="7" fillId="7" borderId="4" xfId="0" applyFont="1" applyFill="1" applyBorder="1" applyAlignment="1">
      <alignment horizontal="centerContinuous"/>
    </xf>
    <xf numFmtId="0" fontId="0" fillId="7" borderId="5" xfId="0" applyFill="1" applyBorder="1" applyAlignment="1">
      <alignment horizontal="centerContinuous" vertical="center"/>
    </xf>
    <xf numFmtId="0" fontId="7" fillId="7" borderId="6" xfId="0" applyFont="1" applyFill="1" applyBorder="1" applyAlignment="1">
      <alignment horizontal="center" vertical="center"/>
    </xf>
    <xf numFmtId="0" fontId="0" fillId="2" borderId="0" xfId="0" applyFill="1"/>
    <xf numFmtId="0" fontId="11" fillId="2" borderId="7" xfId="0" applyFont="1" applyFill="1" applyBorder="1" applyAlignment="1">
      <alignment horizontal="centerContinuous"/>
    </xf>
    <xf numFmtId="0" fontId="11" fillId="2" borderId="8" xfId="0" applyFont="1" applyFill="1" applyBorder="1" applyAlignment="1">
      <alignment horizontal="centerContinuous"/>
    </xf>
    <xf numFmtId="0" fontId="11" fillId="2" borderId="9" xfId="0" applyFont="1" applyFill="1" applyBorder="1" applyAlignment="1">
      <alignment horizontal="centerContinuous"/>
    </xf>
    <xf numFmtId="0" fontId="0" fillId="0" borderId="11" xfId="0" applyBorder="1" applyAlignment="1">
      <alignment horizontal="center" vertical="center"/>
    </xf>
    <xf numFmtId="0" fontId="7" fillId="4"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14" xfId="0" applyBorder="1" applyAlignment="1">
      <alignment horizontal="center" vertical="center"/>
    </xf>
    <xf numFmtId="0" fontId="7" fillId="4" borderId="15" xfId="0" applyFont="1" applyFill="1" applyBorder="1" applyAlignment="1">
      <alignment horizontal="center" vertical="center"/>
    </xf>
    <xf numFmtId="0" fontId="0" fillId="0" borderId="16" xfId="0" applyBorder="1"/>
    <xf numFmtId="0" fontId="0" fillId="0" borderId="17" xfId="0" applyBorder="1"/>
    <xf numFmtId="0" fontId="0" fillId="0" borderId="17" xfId="0" applyBorder="1" applyAlignment="1">
      <alignment horizontal="center"/>
    </xf>
    <xf numFmtId="165" fontId="1" fillId="0" borderId="17" xfId="2" applyNumberFormat="1" applyBorder="1"/>
    <xf numFmtId="165" fontId="1" fillId="0" borderId="18" xfId="2" applyNumberFormat="1" applyBorder="1"/>
    <xf numFmtId="10" fontId="1" fillId="0" borderId="0" xfId="3" applyNumberFormat="1"/>
    <xf numFmtId="0" fontId="0" fillId="0" borderId="20" xfId="0" applyBorder="1" applyAlignment="1">
      <alignment horizontal="center" vertical="center"/>
    </xf>
    <xf numFmtId="0" fontId="7" fillId="4" borderId="21" xfId="0" applyFont="1" applyFill="1" applyBorder="1" applyAlignment="1">
      <alignment horizontal="center" vertical="center"/>
    </xf>
    <xf numFmtId="0" fontId="0" fillId="0" borderId="22" xfId="0" applyBorder="1"/>
    <xf numFmtId="0" fontId="0" fillId="0" borderId="23" xfId="0" applyBorder="1"/>
    <xf numFmtId="0" fontId="0" fillId="0" borderId="23" xfId="0" applyBorder="1" applyAlignment="1">
      <alignment horizontal="center"/>
    </xf>
    <xf numFmtId="165" fontId="1" fillId="0" borderId="23" xfId="2" applyNumberFormat="1" applyBorder="1"/>
    <xf numFmtId="165" fontId="1" fillId="0" borderId="24" xfId="2" applyNumberFormat="1" applyBorder="1"/>
    <xf numFmtId="0" fontId="0" fillId="2" borderId="25" xfId="0" applyFill="1" applyBorder="1"/>
    <xf numFmtId="0" fontId="0" fillId="2" borderId="0" xfId="0" applyFill="1" applyAlignment="1">
      <alignment horizontal="center" vertical="center"/>
    </xf>
    <xf numFmtId="0" fontId="0" fillId="2" borderId="26" xfId="0" applyFill="1" applyBorder="1" applyAlignment="1">
      <alignment horizontal="center" vertical="center"/>
    </xf>
    <xf numFmtId="0" fontId="0" fillId="0" borderId="27" xfId="0" applyBorder="1"/>
    <xf numFmtId="0" fontId="0" fillId="0" borderId="28" xfId="0" applyBorder="1"/>
    <xf numFmtId="0" fontId="0" fillId="0" borderId="28" xfId="0" applyBorder="1" applyAlignment="1">
      <alignment horizontal="center"/>
    </xf>
    <xf numFmtId="165" fontId="1" fillId="0" borderId="28" xfId="2" applyNumberFormat="1" applyBorder="1"/>
    <xf numFmtId="165" fontId="1" fillId="0" borderId="29" xfId="2" applyNumberFormat="1" applyBorder="1"/>
    <xf numFmtId="0" fontId="9" fillId="6" borderId="2" xfId="0" applyFont="1" applyFill="1" applyBorder="1" applyAlignment="1">
      <alignment horizontal="centerContinuous"/>
    </xf>
    <xf numFmtId="0" fontId="10" fillId="6" borderId="14" xfId="0" applyFont="1" applyFill="1" applyBorder="1" applyAlignment="1">
      <alignment horizontal="centerContinuous"/>
    </xf>
    <xf numFmtId="0" fontId="12" fillId="0" borderId="0" xfId="0" applyFont="1"/>
    <xf numFmtId="0" fontId="13" fillId="6" borderId="27" xfId="0" applyFont="1" applyFill="1" applyBorder="1" applyAlignment="1">
      <alignment horizontal="centerContinuous"/>
    </xf>
    <xf numFmtId="0" fontId="13" fillId="6" borderId="30" xfId="0" applyFont="1" applyFill="1" applyBorder="1" applyAlignment="1">
      <alignment horizontal="centerContinuous"/>
    </xf>
    <xf numFmtId="0" fontId="14" fillId="0" borderId="1" xfId="0" applyFont="1" applyBorder="1" applyAlignment="1">
      <alignment horizontal="center"/>
    </xf>
    <xf numFmtId="0" fontId="0" fillId="0" borderId="30" xfId="0" applyBorder="1"/>
    <xf numFmtId="0" fontId="7" fillId="2" borderId="0" xfId="0" applyFont="1" applyFill="1"/>
    <xf numFmtId="0" fontId="11" fillId="2" borderId="0" xfId="0" applyFont="1" applyFill="1" applyAlignment="1">
      <alignment horizontal="centerContinuous"/>
    </xf>
    <xf numFmtId="0" fontId="11" fillId="2" borderId="17" xfId="0" applyFont="1" applyFill="1" applyBorder="1" applyAlignment="1">
      <alignment horizontal="centerContinuous"/>
    </xf>
    <xf numFmtId="0" fontId="11" fillId="2" borderId="18" xfId="0" applyFont="1" applyFill="1" applyBorder="1" applyAlignment="1">
      <alignment horizontal="center" vertical="center" wrapText="1"/>
    </xf>
    <xf numFmtId="0" fontId="0" fillId="0" borderId="7" xfId="0" applyBorder="1" applyAlignment="1">
      <alignment horizontal="center"/>
    </xf>
    <xf numFmtId="0" fontId="0" fillId="0" borderId="18" xfId="0" applyBorder="1" applyAlignment="1">
      <alignment horizontal="center"/>
    </xf>
    <xf numFmtId="0" fontId="0" fillId="0" borderId="18" xfId="0" applyBorder="1"/>
    <xf numFmtId="0" fontId="7" fillId="2" borderId="26" xfId="0" applyFont="1" applyFill="1" applyBorder="1" applyAlignment="1">
      <alignment horizontal="center" vertical="center"/>
    </xf>
    <xf numFmtId="0" fontId="15" fillId="0" borderId="0" xfId="0" applyFont="1"/>
    <xf numFmtId="0" fontId="0" fillId="0" borderId="29" xfId="0" applyBorder="1" applyAlignment="1">
      <alignment horizontal="center"/>
    </xf>
    <xf numFmtId="0" fontId="0" fillId="0" borderId="29" xfId="0" applyBorder="1"/>
    <xf numFmtId="0" fontId="0" fillId="0" borderId="0" xfId="0" applyAlignment="1">
      <alignment horizontal="center"/>
    </xf>
    <xf numFmtId="165" fontId="1" fillId="0" borderId="0" xfId="2" applyNumberFormat="1"/>
    <xf numFmtId="0" fontId="0" fillId="0" borderId="18" xfId="0" applyBorder="1" applyAlignment="1">
      <alignment horizontal="left"/>
    </xf>
    <xf numFmtId="0" fontId="7" fillId="0" borderId="1" xfId="0" applyFont="1" applyBorder="1"/>
    <xf numFmtId="0" fontId="7" fillId="0" borderId="14" xfId="0" applyFont="1" applyBorder="1" applyAlignment="1">
      <alignment horizontal="center"/>
    </xf>
    <xf numFmtId="0" fontId="17" fillId="2" borderId="36" xfId="0" applyFont="1" applyFill="1" applyBorder="1" applyAlignment="1">
      <alignment horizontal="center"/>
    </xf>
    <xf numFmtId="0" fontId="17" fillId="2" borderId="37" xfId="0" applyFont="1" applyFill="1" applyBorder="1" applyAlignment="1">
      <alignment horizontal="center"/>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1" fillId="2" borderId="3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0" xfId="0" applyAlignment="1">
      <alignment vertical="center"/>
    </xf>
    <xf numFmtId="166" fontId="18" fillId="5" borderId="40" xfId="0" applyNumberFormat="1" applyFont="1" applyFill="1" applyBorder="1" applyAlignment="1">
      <alignment horizontal="center"/>
    </xf>
    <xf numFmtId="0" fontId="0" fillId="0" borderId="41" xfId="0" applyBorder="1" applyAlignment="1">
      <alignment horizontal="center"/>
    </xf>
    <xf numFmtId="0" fontId="18" fillId="5" borderId="25" xfId="0" applyFont="1" applyFill="1" applyBorder="1" applyAlignment="1">
      <alignment horizontal="center"/>
    </xf>
    <xf numFmtId="0" fontId="18" fillId="5" borderId="0" xfId="0" applyFont="1" applyFill="1" applyAlignment="1">
      <alignment horizontal="center"/>
    </xf>
    <xf numFmtId="1" fontId="18" fillId="5" borderId="0" xfId="0" applyNumberFormat="1" applyFont="1" applyFill="1" applyAlignment="1">
      <alignment horizontal="left"/>
    </xf>
    <xf numFmtId="166" fontId="18" fillId="5" borderId="0" xfId="0" applyNumberFormat="1" applyFont="1" applyFill="1" applyAlignment="1">
      <alignment horizontal="center"/>
    </xf>
    <xf numFmtId="166" fontId="18" fillId="5" borderId="26" xfId="0" applyNumberFormat="1" applyFont="1" applyFill="1" applyBorder="1" applyAlignment="1">
      <alignment horizontal="center"/>
    </xf>
    <xf numFmtId="0" fontId="18" fillId="5" borderId="42" xfId="0" applyFont="1" applyFill="1" applyBorder="1"/>
    <xf numFmtId="0" fontId="18" fillId="5" borderId="3" xfId="0" applyFont="1" applyFill="1" applyBorder="1"/>
    <xf numFmtId="166" fontId="18" fillId="5" borderId="43" xfId="0" applyNumberFormat="1" applyFont="1" applyFill="1" applyBorder="1" applyAlignment="1">
      <alignment horizontal="center"/>
    </xf>
    <xf numFmtId="0" fontId="0" fillId="0" borderId="44" xfId="0" applyBorder="1" applyAlignment="1">
      <alignment horizontal="center"/>
    </xf>
    <xf numFmtId="0" fontId="18" fillId="5" borderId="45" xfId="0" applyFont="1" applyFill="1" applyBorder="1"/>
    <xf numFmtId="0" fontId="18" fillId="5" borderId="46" xfId="0" applyFont="1" applyFill="1" applyBorder="1"/>
    <xf numFmtId="166" fontId="18" fillId="5" borderId="47" xfId="0" applyNumberFormat="1" applyFont="1" applyFill="1" applyBorder="1" applyAlignment="1">
      <alignment horizontal="center"/>
    </xf>
    <xf numFmtId="0" fontId="0" fillId="0" borderId="48" xfId="0" applyBorder="1" applyAlignment="1">
      <alignment horizontal="center"/>
    </xf>
    <xf numFmtId="0" fontId="19" fillId="5" borderId="39" xfId="0" applyFont="1" applyFill="1" applyBorder="1"/>
    <xf numFmtId="0" fontId="19" fillId="5" borderId="30" xfId="0" applyFont="1" applyFill="1" applyBorder="1"/>
    <xf numFmtId="166" fontId="19" fillId="5" borderId="40" xfId="0" applyNumberFormat="1" applyFont="1" applyFill="1" applyBorder="1" applyAlignment="1">
      <alignment horizontal="center"/>
    </xf>
    <xf numFmtId="0" fontId="0" fillId="0" borderId="49" xfId="0" applyBorder="1" applyAlignment="1">
      <alignment horizontal="center"/>
    </xf>
    <xf numFmtId="0" fontId="19" fillId="5" borderId="50" xfId="0" applyFont="1" applyFill="1" applyBorder="1"/>
    <xf numFmtId="0" fontId="19" fillId="5" borderId="51" xfId="0" applyFont="1" applyFill="1" applyBorder="1"/>
    <xf numFmtId="166" fontId="19" fillId="5" borderId="52" xfId="0" applyNumberFormat="1" applyFont="1" applyFill="1" applyBorder="1" applyAlignment="1">
      <alignment horizontal="center"/>
    </xf>
    <xf numFmtId="2" fontId="18" fillId="5" borderId="53" xfId="0" applyNumberFormat="1" applyFont="1" applyFill="1" applyBorder="1" applyAlignment="1">
      <alignment horizontal="center"/>
    </xf>
    <xf numFmtId="0" fontId="11" fillId="2" borderId="31" xfId="0" applyFont="1" applyFill="1" applyBorder="1" applyAlignment="1">
      <alignment horizontal="center"/>
    </xf>
    <xf numFmtId="0" fontId="11" fillId="2" borderId="5" xfId="0" applyFont="1" applyFill="1" applyBorder="1" applyAlignment="1">
      <alignment horizontal="center"/>
    </xf>
    <xf numFmtId="0" fontId="11" fillId="2" borderId="32" xfId="0" applyFont="1" applyFill="1" applyBorder="1" applyAlignment="1">
      <alignment horizontal="center"/>
    </xf>
    <xf numFmtId="1" fontId="18" fillId="5" borderId="0" xfId="0" applyNumberFormat="1" applyFont="1" applyFill="1" applyAlignment="1">
      <alignment horizontal="center"/>
    </xf>
    <xf numFmtId="0" fontId="18" fillId="5" borderId="50" xfId="0" applyFont="1" applyFill="1" applyBorder="1" applyAlignment="1">
      <alignment horizontal="center"/>
    </xf>
    <xf numFmtId="1" fontId="18" fillId="5" borderId="51" xfId="0" applyNumberFormat="1" applyFont="1" applyFill="1" applyBorder="1" applyAlignment="1">
      <alignment horizontal="center"/>
    </xf>
    <xf numFmtId="166" fontId="18" fillId="5" borderId="51" xfId="0" applyNumberFormat="1" applyFont="1" applyFill="1" applyBorder="1" applyAlignment="1">
      <alignment horizontal="center"/>
    </xf>
    <xf numFmtId="166" fontId="18" fillId="5" borderId="53" xfId="0" applyNumberFormat="1" applyFont="1" applyFill="1" applyBorder="1" applyAlignment="1">
      <alignment horizontal="center"/>
    </xf>
    <xf numFmtId="0" fontId="0" fillId="0" borderId="0" xfId="0" applyAlignment="1">
      <alignment horizontal="left"/>
    </xf>
    <xf numFmtId="167" fontId="0" fillId="0" borderId="0" xfId="0" applyNumberFormat="1" applyAlignment="1">
      <alignment horizontal="center"/>
    </xf>
    <xf numFmtId="166" fontId="0" fillId="0" borderId="0" xfId="0" applyNumberFormat="1" applyAlignment="1">
      <alignment horizontal="center"/>
    </xf>
    <xf numFmtId="0" fontId="20" fillId="0" borderId="0" xfId="0" applyFont="1"/>
    <xf numFmtId="166" fontId="20" fillId="0" borderId="0" xfId="0" applyNumberFormat="1" applyFont="1"/>
    <xf numFmtId="0" fontId="21" fillId="0" borderId="0" xfId="0" applyFont="1" applyAlignment="1">
      <alignment horizontal="left"/>
    </xf>
    <xf numFmtId="0" fontId="11" fillId="2" borderId="54" xfId="0" applyFont="1" applyFill="1" applyBorder="1" applyAlignment="1">
      <alignment horizontal="center"/>
    </xf>
    <xf numFmtId="0" fontId="11" fillId="2" borderId="55" xfId="0" applyFont="1" applyFill="1" applyBorder="1" applyAlignment="1">
      <alignment horizontal="center"/>
    </xf>
    <xf numFmtId="0" fontId="11" fillId="2" borderId="56" xfId="0" applyFont="1" applyFill="1" applyBorder="1" applyAlignment="1">
      <alignment horizontal="center"/>
    </xf>
    <xf numFmtId="0" fontId="18" fillId="5" borderId="25" xfId="0" applyFont="1" applyFill="1" applyBorder="1" applyAlignment="1">
      <alignment horizontal="center" wrapText="1"/>
    </xf>
    <xf numFmtId="0" fontId="18" fillId="5" borderId="51" xfId="0" applyFont="1" applyFill="1" applyBorder="1" applyAlignment="1">
      <alignment horizontal="center"/>
    </xf>
    <xf numFmtId="1" fontId="18" fillId="5" borderId="51" xfId="0" applyNumberFormat="1" applyFont="1" applyFill="1" applyBorder="1" applyAlignment="1">
      <alignment horizontal="left"/>
    </xf>
    <xf numFmtId="0" fontId="21" fillId="0" borderId="0" xfId="0" applyFont="1"/>
    <xf numFmtId="0" fontId="11" fillId="2" borderId="32" xfId="0" applyFont="1" applyFill="1" applyBorder="1"/>
    <xf numFmtId="0" fontId="22" fillId="0" borderId="57" xfId="0" applyFont="1" applyBorder="1" applyAlignment="1">
      <alignment vertical="top" wrapText="1"/>
    </xf>
    <xf numFmtId="0" fontId="23" fillId="2" borderId="7" xfId="0" applyFont="1" applyFill="1" applyBorder="1" applyAlignment="1">
      <alignment horizontal="center"/>
    </xf>
    <xf numFmtId="0" fontId="24" fillId="9" borderId="2" xfId="0" applyFont="1" applyFill="1" applyBorder="1" applyAlignment="1">
      <alignment horizontal="center"/>
    </xf>
    <xf numFmtId="0" fontId="24" fillId="9" borderId="3" xfId="0" applyFont="1" applyFill="1" applyBorder="1" applyAlignment="1">
      <alignment horizontal="center"/>
    </xf>
    <xf numFmtId="0" fontId="24" fillId="9" borderId="14" xfId="0" applyFont="1" applyFill="1" applyBorder="1" applyAlignment="1">
      <alignment horizontal="center"/>
    </xf>
    <xf numFmtId="0" fontId="24" fillId="9" borderId="9" xfId="0" applyFont="1" applyFill="1" applyBorder="1" applyAlignment="1">
      <alignment horizontal="center"/>
    </xf>
    <xf numFmtId="0" fontId="24" fillId="9" borderId="7" xfId="0" applyFont="1" applyFill="1" applyBorder="1" applyAlignment="1">
      <alignment horizontal="center"/>
    </xf>
    <xf numFmtId="0" fontId="24" fillId="0" borderId="58" xfId="0" applyFont="1" applyBorder="1" applyAlignment="1">
      <alignment horizontal="left" vertical="center" wrapText="1" indent="1" readingOrder="1"/>
    </xf>
    <xf numFmtId="165" fontId="1" fillId="0" borderId="59" xfId="2" applyNumberFormat="1" applyBorder="1"/>
    <xf numFmtId="165" fontId="1" fillId="0" borderId="16" xfId="2" applyNumberFormat="1" applyBorder="1"/>
    <xf numFmtId="168" fontId="1" fillId="0" borderId="9" xfId="2" applyNumberFormat="1" applyBorder="1" applyAlignment="1">
      <alignment horizontal="center"/>
    </xf>
    <xf numFmtId="169" fontId="1" fillId="0" borderId="8" xfId="2" applyNumberFormat="1" applyBorder="1" applyAlignment="1">
      <alignment horizontal="center"/>
    </xf>
    <xf numFmtId="165" fontId="0" fillId="0" borderId="18" xfId="0" applyNumberFormat="1" applyBorder="1"/>
    <xf numFmtId="165" fontId="25" fillId="0" borderId="0" xfId="0" applyNumberFormat="1" applyFont="1"/>
    <xf numFmtId="165" fontId="0" fillId="0" borderId="0" xfId="0" applyNumberFormat="1"/>
    <xf numFmtId="0" fontId="24" fillId="0" borderId="60" xfId="0" applyFont="1" applyBorder="1" applyAlignment="1">
      <alignment horizontal="left" vertical="center" wrapText="1" indent="1" readingOrder="1"/>
    </xf>
    <xf numFmtId="168" fontId="1" fillId="0" borderId="17" xfId="2" applyNumberFormat="1" applyBorder="1" applyAlignment="1">
      <alignment horizontal="center"/>
    </xf>
    <xf numFmtId="169" fontId="1" fillId="0" borderId="0" xfId="2" applyNumberFormat="1" applyAlignment="1">
      <alignment horizontal="center"/>
    </xf>
    <xf numFmtId="3" fontId="24" fillId="10" borderId="1" xfId="0" applyNumberFormat="1" applyFont="1" applyFill="1" applyBorder="1" applyAlignment="1">
      <alignment horizontal="left" vertical="center" wrapText="1" indent="1" readingOrder="1"/>
    </xf>
    <xf numFmtId="165" fontId="1" fillId="11" borderId="2" xfId="2" applyNumberFormat="1" applyFill="1" applyBorder="1"/>
    <xf numFmtId="165" fontId="1" fillId="11" borderId="3" xfId="2" applyNumberFormat="1" applyFill="1" applyBorder="1"/>
    <xf numFmtId="165" fontId="1" fillId="11" borderId="14" xfId="2" applyNumberFormat="1" applyFill="1" applyBorder="1"/>
    <xf numFmtId="168" fontId="1" fillId="11" borderId="14" xfId="2" applyNumberFormat="1" applyFill="1" applyBorder="1" applyAlignment="1">
      <alignment horizontal="center"/>
    </xf>
    <xf numFmtId="169" fontId="1" fillId="11" borderId="3" xfId="2" applyNumberFormat="1" applyFill="1" applyBorder="1" applyAlignment="1">
      <alignment horizontal="center"/>
    </xf>
    <xf numFmtId="165" fontId="0" fillId="11" borderId="1" xfId="0" applyNumberFormat="1" applyFill="1" applyBorder="1"/>
    <xf numFmtId="0" fontId="15" fillId="7" borderId="1" xfId="0" applyFont="1" applyFill="1" applyBorder="1" applyAlignment="1">
      <alignment horizontal="left" vertical="center" wrapText="1"/>
    </xf>
    <xf numFmtId="165" fontId="15" fillId="7" borderId="16" xfId="2" applyNumberFormat="1" applyFont="1" applyFill="1" applyBorder="1" applyAlignment="1">
      <alignment vertical="center"/>
    </xf>
    <xf numFmtId="165" fontId="1" fillId="7" borderId="0" xfId="2" applyNumberFormat="1" applyFill="1" applyAlignment="1">
      <alignment vertical="center"/>
    </xf>
    <xf numFmtId="165" fontId="1" fillId="7" borderId="17" xfId="2" applyNumberFormat="1" applyFill="1" applyBorder="1" applyAlignment="1">
      <alignment vertical="center"/>
    </xf>
    <xf numFmtId="165" fontId="1" fillId="7" borderId="16" xfId="2" applyNumberFormat="1" applyFill="1" applyBorder="1" applyAlignment="1">
      <alignment vertical="center"/>
    </xf>
    <xf numFmtId="168" fontId="1" fillId="7" borderId="17" xfId="2" applyNumberFormat="1" applyFill="1" applyBorder="1" applyAlignment="1">
      <alignment horizontal="center" vertical="center"/>
    </xf>
    <xf numFmtId="169" fontId="1" fillId="7" borderId="0" xfId="2" applyNumberFormat="1" applyFill="1" applyAlignment="1">
      <alignment horizontal="center" vertical="center"/>
    </xf>
    <xf numFmtId="165" fontId="0" fillId="7" borderId="18" xfId="0" applyNumberFormat="1" applyFill="1" applyBorder="1" applyAlignment="1">
      <alignment vertical="center"/>
    </xf>
    <xf numFmtId="3" fontId="24" fillId="10" borderId="2" xfId="0" applyNumberFormat="1" applyFont="1" applyFill="1" applyBorder="1" applyAlignment="1">
      <alignment horizontal="left" vertical="center" wrapText="1" indent="1" readingOrder="1"/>
    </xf>
    <xf numFmtId="165" fontId="26" fillId="11" borderId="2" xfId="0" applyNumberFormat="1" applyFont="1" applyFill="1" applyBorder="1"/>
    <xf numFmtId="165" fontId="26" fillId="11" borderId="3" xfId="2" applyNumberFormat="1" applyFont="1" applyFill="1" applyBorder="1"/>
    <xf numFmtId="165" fontId="26" fillId="11" borderId="14" xfId="2" applyNumberFormat="1" applyFont="1" applyFill="1" applyBorder="1"/>
    <xf numFmtId="168" fontId="26" fillId="11" borderId="14" xfId="2" applyNumberFormat="1" applyFont="1" applyFill="1" applyBorder="1" applyAlignment="1">
      <alignment horizontal="center"/>
    </xf>
    <xf numFmtId="169" fontId="26" fillId="11" borderId="3" xfId="2" applyNumberFormat="1" applyFont="1" applyFill="1" applyBorder="1" applyAlignment="1">
      <alignment horizontal="center"/>
    </xf>
    <xf numFmtId="165" fontId="26" fillId="11" borderId="1" xfId="0" applyNumberFormat="1" applyFont="1" applyFill="1" applyBorder="1"/>
    <xf numFmtId="165" fontId="26" fillId="0" borderId="0" xfId="0" applyNumberFormat="1" applyFont="1"/>
    <xf numFmtId="0" fontId="26" fillId="0" borderId="0" xfId="0" applyFont="1"/>
    <xf numFmtId="3" fontId="0" fillId="0" borderId="0" xfId="0" applyNumberFormat="1"/>
    <xf numFmtId="169" fontId="1" fillId="0" borderId="59" xfId="2" applyNumberFormat="1" applyBorder="1" applyAlignment="1">
      <alignment horizontal="center"/>
    </xf>
    <xf numFmtId="169" fontId="1" fillId="0" borderId="9" xfId="2" applyNumberFormat="1" applyBorder="1" applyAlignment="1">
      <alignment horizontal="center"/>
    </xf>
    <xf numFmtId="43" fontId="0" fillId="0" borderId="0" xfId="0" applyNumberFormat="1"/>
    <xf numFmtId="169" fontId="1" fillId="0" borderId="16" xfId="2" applyNumberFormat="1" applyBorder="1" applyAlignment="1">
      <alignment horizontal="center"/>
    </xf>
    <xf numFmtId="169" fontId="1" fillId="0" borderId="17" xfId="2" applyNumberFormat="1" applyBorder="1" applyAlignment="1">
      <alignment horizontal="center"/>
    </xf>
    <xf numFmtId="169" fontId="1" fillId="0" borderId="27" xfId="2" applyNumberFormat="1" applyBorder="1" applyAlignment="1">
      <alignment horizontal="center"/>
    </xf>
    <xf numFmtId="169" fontId="1" fillId="0" borderId="30" xfId="2" applyNumberFormat="1" applyBorder="1" applyAlignment="1">
      <alignment horizontal="center"/>
    </xf>
    <xf numFmtId="169" fontId="1" fillId="0" borderId="28" xfId="2" applyNumberFormat="1" applyBorder="1" applyAlignment="1">
      <alignment horizontal="center"/>
    </xf>
    <xf numFmtId="0" fontId="24" fillId="10" borderId="64" xfId="0" applyFont="1" applyFill="1" applyBorder="1" applyAlignment="1">
      <alignment horizontal="left" vertical="center" wrapText="1" indent="1" readingOrder="1"/>
    </xf>
    <xf numFmtId="169" fontId="1" fillId="0" borderId="3" xfId="2" applyNumberFormat="1" applyBorder="1" applyAlignment="1">
      <alignment horizontal="center"/>
    </xf>
    <xf numFmtId="169" fontId="1" fillId="0" borderId="14" xfId="2" applyNumberFormat="1" applyBorder="1" applyAlignment="1">
      <alignment horizontal="center"/>
    </xf>
    <xf numFmtId="0" fontId="24" fillId="9" borderId="8" xfId="0" applyFont="1" applyFill="1" applyBorder="1" applyAlignment="1">
      <alignment horizontal="center"/>
    </xf>
    <xf numFmtId="0" fontId="24" fillId="9" borderId="59" xfId="0" applyFont="1" applyFill="1" applyBorder="1" applyAlignment="1">
      <alignment horizontal="center"/>
    </xf>
    <xf numFmtId="0" fontId="24" fillId="0" borderId="18" xfId="0" applyFont="1" applyBorder="1" applyAlignment="1">
      <alignment horizontal="left" vertical="center" wrapText="1" indent="1" readingOrder="1"/>
    </xf>
    <xf numFmtId="165" fontId="1" fillId="0" borderId="8" xfId="2" applyNumberFormat="1" applyBorder="1"/>
    <xf numFmtId="165" fontId="1" fillId="0" borderId="9" xfId="2" applyNumberFormat="1" applyBorder="1"/>
    <xf numFmtId="165" fontId="0" fillId="0" borderId="7" xfId="0" applyNumberFormat="1" applyBorder="1"/>
    <xf numFmtId="169" fontId="0" fillId="0" borderId="0" xfId="0" applyNumberFormat="1"/>
    <xf numFmtId="165" fontId="0" fillId="11" borderId="3" xfId="0" applyNumberFormat="1" applyFill="1" applyBorder="1"/>
    <xf numFmtId="165" fontId="0" fillId="11" borderId="2" xfId="0" applyNumberFormat="1" applyFill="1" applyBorder="1"/>
    <xf numFmtId="165" fontId="0" fillId="11" borderId="14" xfId="0" applyNumberFormat="1" applyFill="1" applyBorder="1"/>
    <xf numFmtId="3" fontId="7" fillId="11" borderId="14" xfId="0" applyNumberFormat="1" applyFont="1" applyFill="1" applyBorder="1" applyAlignment="1">
      <alignment horizontal="center"/>
    </xf>
    <xf numFmtId="165" fontId="15" fillId="7" borderId="3" xfId="2" applyNumberFormat="1" applyFont="1" applyFill="1" applyBorder="1" applyAlignment="1">
      <alignment vertical="center"/>
    </xf>
    <xf numFmtId="165" fontId="15" fillId="7" borderId="14" xfId="2" applyNumberFormat="1" applyFont="1" applyFill="1" applyBorder="1" applyAlignment="1">
      <alignment vertical="center"/>
    </xf>
    <xf numFmtId="165" fontId="15" fillId="7" borderId="2" xfId="2" applyNumberFormat="1" applyFont="1" applyFill="1" applyBorder="1" applyAlignment="1">
      <alignment vertical="center"/>
    </xf>
    <xf numFmtId="3" fontId="29" fillId="7" borderId="3" xfId="0" applyNumberFormat="1" applyFont="1" applyFill="1" applyBorder="1" applyAlignment="1">
      <alignment horizontal="center" vertical="center"/>
    </xf>
    <xf numFmtId="3" fontId="15" fillId="7" borderId="1" xfId="0" applyNumberFormat="1" applyFont="1" applyFill="1" applyBorder="1" applyAlignment="1">
      <alignment vertical="center"/>
    </xf>
    <xf numFmtId="165" fontId="1" fillId="11" borderId="27" xfId="2" applyNumberFormat="1" applyFill="1" applyBorder="1"/>
    <xf numFmtId="3" fontId="7" fillId="11" borderId="1" xfId="0" applyNumberFormat="1" applyFont="1" applyFill="1" applyBorder="1" applyAlignment="1">
      <alignment horizontal="center"/>
    </xf>
    <xf numFmtId="3" fontId="7" fillId="0" borderId="29" xfId="0" applyNumberFormat="1" applyFont="1" applyBorder="1" applyAlignment="1">
      <alignment horizontal="center"/>
    </xf>
    <xf numFmtId="0" fontId="15" fillId="0" borderId="0" xfId="0" applyFont="1" applyAlignment="1">
      <alignment horizontal="right"/>
    </xf>
    <xf numFmtId="0" fontId="15" fillId="0" borderId="0" xfId="0" applyFont="1" applyAlignment="1">
      <alignment horizontal="center"/>
    </xf>
    <xf numFmtId="165" fontId="15" fillId="0" borderId="0" xfId="2" applyNumberFormat="1" applyFont="1"/>
    <xf numFmtId="43" fontId="15" fillId="0" borderId="0" xfId="0" applyNumberFormat="1" applyFont="1"/>
    <xf numFmtId="0" fontId="15" fillId="0" borderId="0" xfId="0" applyFont="1" applyAlignment="1">
      <alignment horizontal="center" wrapText="1"/>
    </xf>
    <xf numFmtId="43" fontId="0" fillId="0" borderId="0" xfId="0" applyNumberFormat="1" applyAlignment="1">
      <alignment horizontal="center"/>
    </xf>
    <xf numFmtId="0" fontId="30" fillId="0" borderId="0" xfId="0" applyFont="1" applyAlignment="1">
      <alignment horizontal="right"/>
    </xf>
    <xf numFmtId="165" fontId="7" fillId="0" borderId="0" xfId="0" applyNumberFormat="1" applyFont="1"/>
    <xf numFmtId="3" fontId="4" fillId="14" borderId="2" xfId="0" applyNumberFormat="1" applyFont="1" applyFill="1" applyBorder="1" applyAlignment="1">
      <alignment horizontal="left" vertical="center" wrapText="1" indent="1" readingOrder="1"/>
    </xf>
    <xf numFmtId="165" fontId="4" fillId="2" borderId="65" xfId="2" applyNumberFormat="1" applyFont="1" applyFill="1" applyBorder="1"/>
    <xf numFmtId="165" fontId="4" fillId="2" borderId="3" xfId="2" applyNumberFormat="1" applyFont="1" applyFill="1" applyBorder="1"/>
    <xf numFmtId="165" fontId="4" fillId="2" borderId="43" xfId="2" applyNumberFormat="1" applyFont="1" applyFill="1" applyBorder="1"/>
    <xf numFmtId="165" fontId="4" fillId="2" borderId="30" xfId="2" applyNumberFormat="1" applyFont="1" applyFill="1" applyBorder="1"/>
    <xf numFmtId="3" fontId="4" fillId="2" borderId="66" xfId="0" applyNumberFormat="1" applyFont="1" applyFill="1" applyBorder="1" applyAlignment="1">
      <alignment horizontal="center"/>
    </xf>
    <xf numFmtId="3" fontId="4" fillId="2" borderId="28" xfId="0" applyNumberFormat="1" applyFont="1" applyFill="1" applyBorder="1" applyAlignment="1">
      <alignment horizontal="center"/>
    </xf>
    <xf numFmtId="10" fontId="1" fillId="0" borderId="0" xfId="3" applyNumberFormat="1" applyAlignment="1">
      <alignment horizontal="right"/>
    </xf>
    <xf numFmtId="41" fontId="0" fillId="0" borderId="0" xfId="0" applyNumberFormat="1"/>
    <xf numFmtId="0" fontId="31" fillId="0" borderId="0" xfId="0" applyFont="1" applyAlignment="1">
      <alignment horizontal="left"/>
    </xf>
    <xf numFmtId="0" fontId="2" fillId="3" borderId="0" xfId="0" applyFont="1" applyFill="1"/>
    <xf numFmtId="0" fontId="6" fillId="0" borderId="0" xfId="0" applyFont="1" applyAlignment="1">
      <alignment vertical="center"/>
    </xf>
    <xf numFmtId="0" fontId="32" fillId="0" borderId="69" xfId="0" applyFont="1" applyBorder="1"/>
    <xf numFmtId="0" fontId="8" fillId="2" borderId="4" xfId="0" applyFont="1" applyFill="1" applyBorder="1" applyAlignment="1">
      <alignment horizontal="center" vertical="center"/>
    </xf>
    <xf numFmtId="0" fontId="6" fillId="2" borderId="73" xfId="0" applyFont="1" applyFill="1" applyBorder="1"/>
    <xf numFmtId="0" fontId="6" fillId="2" borderId="0" xfId="0" applyFont="1" applyFill="1"/>
    <xf numFmtId="0" fontId="6" fillId="2" borderId="74" xfId="0" applyFont="1" applyFill="1" applyBorder="1"/>
    <xf numFmtId="0" fontId="32" fillId="2" borderId="73" xfId="4" applyFont="1" applyFill="1" applyBorder="1" applyAlignment="1">
      <alignment horizontal="right" vertical="top"/>
    </xf>
    <xf numFmtId="0" fontId="8" fillId="2" borderId="75" xfId="4" applyFont="1" applyFill="1" applyBorder="1" applyAlignment="1">
      <alignment horizontal="center" vertical="center"/>
    </xf>
    <xf numFmtId="0" fontId="8" fillId="2" borderId="0" xfId="4" applyFont="1" applyFill="1" applyAlignment="1">
      <alignment horizontal="center" vertical="center"/>
    </xf>
    <xf numFmtId="0" fontId="8" fillId="2" borderId="74" xfId="4" applyFont="1" applyFill="1" applyBorder="1" applyAlignment="1">
      <alignment horizontal="center" vertical="center"/>
    </xf>
    <xf numFmtId="0" fontId="35" fillId="8" borderId="4" xfId="0" applyFont="1" applyFill="1" applyBorder="1" applyAlignment="1">
      <alignment horizontal="center"/>
    </xf>
    <xf numFmtId="0" fontId="36" fillId="2" borderId="0" xfId="0" applyFont="1" applyFill="1" applyAlignment="1">
      <alignment vertical="center"/>
    </xf>
    <xf numFmtId="0" fontId="36" fillId="2" borderId="0" xfId="0" applyFont="1" applyFill="1" applyAlignment="1">
      <alignment horizontal="left" vertical="center"/>
    </xf>
    <xf numFmtId="0" fontId="37" fillId="2" borderId="73" xfId="4" applyFont="1" applyFill="1" applyBorder="1" applyAlignment="1">
      <alignment horizontal="right" vertical="top"/>
    </xf>
    <xf numFmtId="10" fontId="38" fillId="0" borderId="69" xfId="3" applyNumberFormat="1" applyFont="1" applyBorder="1" applyAlignment="1">
      <alignment vertical="top"/>
    </xf>
    <xf numFmtId="10" fontId="38" fillId="0" borderId="77" xfId="3" applyNumberFormat="1" applyFont="1" applyBorder="1" applyAlignment="1">
      <alignment horizontal="right" vertical="top"/>
    </xf>
    <xf numFmtId="0" fontId="39" fillId="2" borderId="73" xfId="0" applyFont="1" applyFill="1" applyBorder="1" applyAlignment="1">
      <alignment horizontal="right"/>
    </xf>
    <xf numFmtId="1" fontId="40" fillId="18" borderId="1" xfId="0" applyNumberFormat="1" applyFont="1" applyFill="1" applyBorder="1" applyAlignment="1">
      <alignment horizontal="center" vertical="center"/>
    </xf>
    <xf numFmtId="0" fontId="4" fillId="2" borderId="0" xfId="0" applyFont="1" applyFill="1"/>
    <xf numFmtId="0" fontId="39" fillId="2" borderId="0" xfId="0" applyFont="1" applyFill="1" applyAlignment="1">
      <alignment horizontal="right" vertical="center" wrapText="1"/>
    </xf>
    <xf numFmtId="170" fontId="38" fillId="0" borderId="69" xfId="4" applyNumberFormat="1" applyFont="1" applyBorder="1" applyAlignment="1">
      <alignment vertical="top"/>
    </xf>
    <xf numFmtId="170" fontId="38" fillId="16" borderId="69" xfId="4" applyNumberFormat="1" applyFont="1" applyFill="1" applyBorder="1" applyAlignment="1">
      <alignment horizontal="right" vertical="top"/>
    </xf>
    <xf numFmtId="170" fontId="38" fillId="0" borderId="77" xfId="4" applyNumberFormat="1" applyFont="1" applyBorder="1" applyAlignment="1">
      <alignment horizontal="right" vertical="top"/>
    </xf>
    <xf numFmtId="1" fontId="40" fillId="18" borderId="29" xfId="0" applyNumberFormat="1" applyFont="1" applyFill="1" applyBorder="1" applyAlignment="1">
      <alignment horizontal="center" vertical="center"/>
    </xf>
    <xf numFmtId="10" fontId="6" fillId="18" borderId="81" xfId="3" applyNumberFormat="1" applyFont="1" applyFill="1" applyBorder="1" applyAlignment="1">
      <alignment horizontal="center" vertical="center"/>
    </xf>
    <xf numFmtId="170" fontId="38" fillId="16" borderId="69" xfId="4" applyNumberFormat="1" applyFont="1" applyFill="1" applyBorder="1" applyAlignment="1">
      <alignment vertical="top"/>
    </xf>
    <xf numFmtId="170" fontId="38" fillId="0" borderId="69" xfId="4" applyNumberFormat="1" applyFont="1" applyBorder="1" applyAlignment="1">
      <alignment horizontal="right" vertical="top"/>
    </xf>
    <xf numFmtId="10" fontId="6" fillId="16" borderId="82" xfId="3" applyNumberFormat="1" applyFont="1" applyFill="1" applyBorder="1" applyAlignment="1">
      <alignment horizontal="center"/>
    </xf>
    <xf numFmtId="0" fontId="4" fillId="2" borderId="0" xfId="0" applyFont="1" applyFill="1" applyAlignment="1">
      <alignment horizontal="right"/>
    </xf>
    <xf numFmtId="0" fontId="6" fillId="2" borderId="0" xfId="0" applyFont="1" applyFill="1" applyAlignment="1">
      <alignment horizontal="right"/>
    </xf>
    <xf numFmtId="0" fontId="6" fillId="2" borderId="0" xfId="0" applyFont="1" applyFill="1" applyAlignment="1">
      <alignment horizontal="center"/>
    </xf>
    <xf numFmtId="170" fontId="6" fillId="0" borderId="75" xfId="4" applyNumberFormat="1" applyFont="1" applyBorder="1" applyAlignment="1">
      <alignment vertical="top"/>
    </xf>
    <xf numFmtId="0" fontId="6" fillId="0" borderId="0" xfId="4" applyFont="1" applyAlignment="1">
      <alignment horizontal="right" vertical="top"/>
    </xf>
    <xf numFmtId="0" fontId="6" fillId="0" borderId="74" xfId="4" applyFont="1" applyBorder="1" applyAlignment="1">
      <alignment horizontal="right" vertical="top"/>
    </xf>
    <xf numFmtId="0" fontId="39" fillId="2" borderId="73" xfId="4" applyFont="1" applyFill="1" applyBorder="1" applyAlignment="1">
      <alignment horizontal="right" vertical="top"/>
    </xf>
    <xf numFmtId="171" fontId="41" fillId="16" borderId="69" xfId="4" applyNumberFormat="1" applyFont="1" applyFill="1" applyBorder="1" applyAlignment="1">
      <alignment vertical="top"/>
    </xf>
    <xf numFmtId="168" fontId="40" fillId="18" borderId="83" xfId="0" applyNumberFormat="1" applyFont="1" applyFill="1" applyBorder="1" applyAlignment="1">
      <alignment horizontal="center" vertical="center"/>
    </xf>
    <xf numFmtId="168" fontId="6" fillId="16" borderId="84" xfId="2" applyNumberFormat="1" applyFont="1" applyFill="1" applyBorder="1" applyAlignment="1">
      <alignment horizontal="center" vertical="center"/>
    </xf>
    <xf numFmtId="0" fontId="39" fillId="2" borderId="0" xfId="0" applyFont="1" applyFill="1" applyAlignment="1">
      <alignment horizontal="center" vertical="center" wrapText="1"/>
    </xf>
    <xf numFmtId="0" fontId="37" fillId="2" borderId="0" xfId="0" applyFont="1" applyFill="1" applyAlignment="1">
      <alignment horizontal="center"/>
    </xf>
    <xf numFmtId="170" fontId="6" fillId="15" borderId="69" xfId="4" applyNumberFormat="1" applyFont="1" applyFill="1" applyBorder="1" applyAlignment="1">
      <alignment vertical="top"/>
    </xf>
    <xf numFmtId="170" fontId="6" fillId="0" borderId="69" xfId="4" applyNumberFormat="1" applyFont="1" applyBorder="1" applyAlignment="1">
      <alignment horizontal="right" vertical="top"/>
    </xf>
    <xf numFmtId="170" fontId="6" fillId="15" borderId="77" xfId="4" applyNumberFormat="1" applyFont="1" applyFill="1" applyBorder="1" applyAlignment="1">
      <alignment horizontal="right" vertical="top"/>
    </xf>
    <xf numFmtId="170" fontId="43" fillId="0" borderId="69" xfId="4" applyNumberFormat="1" applyFont="1" applyBorder="1" applyAlignment="1">
      <alignment horizontal="right" vertical="top"/>
    </xf>
    <xf numFmtId="170" fontId="44" fillId="0" borderId="69" xfId="4" applyNumberFormat="1" applyFont="1" applyBorder="1" applyAlignment="1">
      <alignment vertical="top"/>
    </xf>
    <xf numFmtId="170" fontId="44" fillId="0" borderId="77" xfId="4" applyNumberFormat="1" applyFont="1" applyBorder="1" applyAlignment="1">
      <alignment vertical="top"/>
    </xf>
    <xf numFmtId="0" fontId="4" fillId="2" borderId="0" xfId="0" applyFont="1" applyFill="1" applyAlignment="1">
      <alignment wrapText="1"/>
    </xf>
    <xf numFmtId="0" fontId="37" fillId="2" borderId="0" xfId="0" applyFont="1" applyFill="1"/>
    <xf numFmtId="0" fontId="39" fillId="2" borderId="73" xfId="4" applyFont="1" applyFill="1" applyBorder="1" applyAlignment="1">
      <alignment horizontal="right" vertical="top" wrapText="1"/>
    </xf>
    <xf numFmtId="170" fontId="41" fillId="0" borderId="69" xfId="4" applyNumberFormat="1" applyFont="1" applyBorder="1" applyAlignment="1">
      <alignment horizontal="right" vertical="center"/>
    </xf>
    <xf numFmtId="170" fontId="41" fillId="0" borderId="77" xfId="4" applyNumberFormat="1" applyFont="1" applyBorder="1" applyAlignment="1">
      <alignment horizontal="right" vertical="center"/>
    </xf>
    <xf numFmtId="0" fontId="39" fillId="2" borderId="0" xfId="0" applyFont="1" applyFill="1" applyAlignment="1">
      <alignment horizontal="right"/>
    </xf>
    <xf numFmtId="10" fontId="45" fillId="18" borderId="81" xfId="3" applyNumberFormat="1" applyFont="1" applyFill="1" applyBorder="1" applyAlignment="1">
      <alignment horizontal="center" vertical="center"/>
    </xf>
    <xf numFmtId="0" fontId="6" fillId="0" borderId="75" xfId="4" applyFont="1" applyBorder="1" applyAlignment="1">
      <alignment vertical="top"/>
    </xf>
    <xf numFmtId="170" fontId="6" fillId="0" borderId="69" xfId="4" applyNumberFormat="1" applyFont="1" applyBorder="1" applyAlignment="1">
      <alignment vertical="top"/>
    </xf>
    <xf numFmtId="170" fontId="6" fillId="0" borderId="77" xfId="4" applyNumberFormat="1" applyFont="1" applyBorder="1" applyAlignment="1">
      <alignment horizontal="right" vertical="top"/>
    </xf>
    <xf numFmtId="10" fontId="25" fillId="19" borderId="87" xfId="0" applyNumberFormat="1" applyFont="1" applyFill="1" applyBorder="1" applyAlignment="1">
      <alignment horizontal="center"/>
    </xf>
    <xf numFmtId="0" fontId="37" fillId="2" borderId="88" xfId="0" applyFont="1" applyFill="1" applyBorder="1" applyAlignment="1">
      <alignment horizontal="right"/>
    </xf>
    <xf numFmtId="0" fontId="33" fillId="2" borderId="89" xfId="0" applyFont="1" applyFill="1" applyBorder="1" applyAlignment="1">
      <alignment horizontal="center" vertical="center"/>
    </xf>
    <xf numFmtId="0" fontId="4" fillId="2" borderId="89" xfId="0" applyFont="1" applyFill="1" applyBorder="1" applyAlignment="1">
      <alignment wrapText="1"/>
    </xf>
    <xf numFmtId="9" fontId="6" fillId="2" borderId="89" xfId="3" applyFont="1" applyFill="1" applyBorder="1" applyAlignment="1">
      <alignment horizontal="center" vertical="center"/>
    </xf>
    <xf numFmtId="0" fontId="6" fillId="2" borderId="90" xfId="0" applyFont="1" applyFill="1" applyBorder="1"/>
    <xf numFmtId="170" fontId="44" fillId="0" borderId="69" xfId="4" applyNumberFormat="1" applyFont="1" applyBorder="1" applyAlignment="1">
      <alignment horizontal="right" vertical="center"/>
    </xf>
    <xf numFmtId="170" fontId="44" fillId="0" borderId="77" xfId="4" applyNumberFormat="1" applyFont="1" applyBorder="1" applyAlignment="1">
      <alignment horizontal="right" vertical="center"/>
    </xf>
    <xf numFmtId="0" fontId="37" fillId="5" borderId="0" xfId="0" applyFont="1" applyFill="1" applyAlignment="1">
      <alignment horizontal="right"/>
    </xf>
    <xf numFmtId="0" fontId="33" fillId="5" borderId="0" xfId="0" applyFont="1" applyFill="1" applyAlignment="1">
      <alignment horizontal="center" vertical="center"/>
    </xf>
    <xf numFmtId="0" fontId="4" fillId="5" borderId="0" xfId="0" applyFont="1" applyFill="1"/>
    <xf numFmtId="0" fontId="6" fillId="5" borderId="0" xfId="0" applyFont="1" applyFill="1"/>
    <xf numFmtId="0" fontId="39" fillId="2" borderId="88" xfId="4" applyFont="1" applyFill="1" applyBorder="1" applyAlignment="1">
      <alignment horizontal="right" vertical="top"/>
    </xf>
    <xf numFmtId="170" fontId="41" fillId="5" borderId="91" xfId="4" applyNumberFormat="1" applyFont="1" applyFill="1" applyBorder="1" applyAlignment="1">
      <alignment vertical="top"/>
    </xf>
    <xf numFmtId="170" fontId="41" fillId="5" borderId="92" xfId="4" applyNumberFormat="1" applyFont="1" applyFill="1" applyBorder="1" applyAlignment="1">
      <alignment vertical="top"/>
    </xf>
    <xf numFmtId="170" fontId="32" fillId="0" borderId="0" xfId="4" applyNumberFormat="1" applyFont="1" applyAlignment="1">
      <alignment vertical="top"/>
    </xf>
    <xf numFmtId="170" fontId="6" fillId="0" borderId="0" xfId="0" applyNumberFormat="1" applyFont="1"/>
    <xf numFmtId="0" fontId="47" fillId="2" borderId="0" xfId="4" applyFont="1" applyFill="1" applyAlignment="1">
      <alignment horizontal="center" vertical="top"/>
    </xf>
    <xf numFmtId="0" fontId="32" fillId="0" borderId="0" xfId="4" applyFont="1" applyAlignment="1">
      <alignment horizontal="right" vertical="top"/>
    </xf>
    <xf numFmtId="0" fontId="41" fillId="0" borderId="0" xfId="0" applyFont="1"/>
    <xf numFmtId="0" fontId="48" fillId="0" borderId="0" xfId="4" applyFont="1" applyAlignment="1">
      <alignment vertical="top"/>
    </xf>
    <xf numFmtId="0" fontId="32" fillId="0" borderId="0" xfId="4" applyFont="1" applyAlignment="1">
      <alignment vertical="top"/>
    </xf>
    <xf numFmtId="0" fontId="49" fillId="2" borderId="59" xfId="4" applyFont="1" applyFill="1" applyBorder="1" applyAlignment="1">
      <alignment horizontal="right" vertical="top"/>
    </xf>
    <xf numFmtId="165" fontId="6" fillId="16" borderId="7" xfId="2" applyNumberFormat="1" applyFont="1" applyFill="1" applyBorder="1"/>
    <xf numFmtId="170" fontId="50" fillId="17" borderId="7" xfId="4" applyNumberFormat="1" applyFont="1" applyFill="1" applyBorder="1" applyAlignment="1">
      <alignment horizontal="right" vertical="top"/>
    </xf>
    <xf numFmtId="170" fontId="49" fillId="2" borderId="0" xfId="4" applyNumberFormat="1" applyFont="1" applyFill="1" applyAlignment="1">
      <alignment vertical="top"/>
    </xf>
    <xf numFmtId="0" fontId="51" fillId="0" borderId="33" xfId="4" applyFont="1" applyBorder="1" applyAlignment="1">
      <alignment horizontal="right" vertical="center"/>
    </xf>
    <xf numFmtId="172" fontId="52" fillId="16" borderId="35" xfId="2" applyNumberFormat="1" applyFont="1" applyFill="1" applyBorder="1" applyAlignment="1">
      <alignment horizontal="right" vertical="center"/>
    </xf>
    <xf numFmtId="165" fontId="6" fillId="0" borderId="0" xfId="0" applyNumberFormat="1" applyFont="1"/>
    <xf numFmtId="0" fontId="49" fillId="2" borderId="16" xfId="4" applyFont="1" applyFill="1" applyBorder="1" applyAlignment="1">
      <alignment horizontal="right" vertical="top"/>
    </xf>
    <xf numFmtId="165" fontId="6" fillId="16" borderId="29" xfId="2" applyNumberFormat="1" applyFont="1" applyFill="1" applyBorder="1"/>
    <xf numFmtId="170" fontId="50" fillId="17" borderId="29" xfId="4" applyNumberFormat="1" applyFont="1" applyFill="1" applyBorder="1" applyAlignment="1">
      <alignment horizontal="right" vertical="top"/>
    </xf>
    <xf numFmtId="0" fontId="6" fillId="5" borderId="0" xfId="0" applyFont="1" applyFill="1" applyAlignment="1">
      <alignment horizontal="right"/>
    </xf>
    <xf numFmtId="170" fontId="51" fillId="0" borderId="39" xfId="4" applyNumberFormat="1" applyFont="1" applyBorder="1" applyAlignment="1">
      <alignment horizontal="right" vertical="center"/>
    </xf>
    <xf numFmtId="172" fontId="52" fillId="20" borderId="41" xfId="2" applyNumberFormat="1" applyFont="1" applyFill="1" applyBorder="1" applyAlignment="1">
      <alignment horizontal="right" vertical="center"/>
    </xf>
    <xf numFmtId="173" fontId="6" fillId="0" borderId="0" xfId="0" applyNumberFormat="1" applyFont="1"/>
    <xf numFmtId="0" fontId="42" fillId="2" borderId="27" xfId="4" applyFont="1" applyFill="1" applyBorder="1" applyAlignment="1">
      <alignment horizontal="right" vertical="top"/>
    </xf>
    <xf numFmtId="170" fontId="32" fillId="16" borderId="29" xfId="4" applyNumberFormat="1" applyFont="1" applyFill="1" applyBorder="1" applyAlignment="1">
      <alignment horizontal="right" vertical="top"/>
    </xf>
    <xf numFmtId="0" fontId="51" fillId="0" borderId="50" xfId="4" applyFont="1" applyBorder="1" applyAlignment="1">
      <alignment horizontal="right" vertical="center"/>
    </xf>
    <xf numFmtId="174" fontId="53" fillId="0" borderId="53" xfId="4" applyNumberFormat="1" applyFont="1" applyBorder="1" applyAlignment="1">
      <alignment horizontal="right" vertical="center"/>
    </xf>
    <xf numFmtId="0" fontId="37" fillId="2" borderId="0" xfId="0" applyFont="1" applyFill="1" applyAlignment="1">
      <alignment horizontal="right"/>
    </xf>
    <xf numFmtId="0" fontId="54" fillId="0" borderId="0" xfId="0" applyFont="1"/>
    <xf numFmtId="0" fontId="54" fillId="2" borderId="0" xfId="0" applyFont="1" applyFill="1"/>
    <xf numFmtId="9" fontId="50" fillId="16" borderId="14" xfId="4" applyNumberFormat="1" applyFont="1" applyFill="1" applyBorder="1" applyAlignment="1">
      <alignment vertical="top"/>
    </xf>
    <xf numFmtId="175" fontId="54" fillId="0" borderId="0" xfId="0" applyNumberFormat="1" applyFont="1"/>
    <xf numFmtId="4" fontId="50" fillId="16" borderId="14" xfId="4" applyNumberFormat="1" applyFont="1" applyFill="1" applyBorder="1" applyAlignment="1">
      <alignment vertical="top"/>
    </xf>
    <xf numFmtId="0" fontId="41" fillId="0" borderId="33" xfId="0" applyFont="1" applyBorder="1" applyAlignment="1">
      <alignment horizontal="right"/>
    </xf>
    <xf numFmtId="173" fontId="6" fillId="0" borderId="35" xfId="0" applyNumberFormat="1" applyFont="1" applyBorder="1"/>
    <xf numFmtId="175" fontId="1" fillId="0" borderId="0" xfId="3" applyNumberFormat="1"/>
    <xf numFmtId="0" fontId="41" fillId="0" borderId="25" xfId="0" applyFont="1" applyBorder="1" applyAlignment="1">
      <alignment horizontal="right"/>
    </xf>
    <xf numFmtId="170" fontId="6" fillId="15" borderId="26" xfId="4" applyNumberFormat="1" applyFont="1" applyFill="1" applyBorder="1" applyAlignment="1">
      <alignment vertical="top"/>
    </xf>
    <xf numFmtId="0" fontId="41" fillId="0" borderId="50" xfId="0" applyFont="1" applyBorder="1" applyAlignment="1">
      <alignment horizontal="right"/>
    </xf>
    <xf numFmtId="176" fontId="6" fillId="0" borderId="53" xfId="0" applyNumberFormat="1" applyFont="1" applyBorder="1"/>
    <xf numFmtId="0" fontId="16" fillId="0" borderId="0" xfId="4" applyFont="1" applyAlignment="1">
      <alignment vertical="top"/>
    </xf>
    <xf numFmtId="0" fontId="37" fillId="0" borderId="0" xfId="0" applyFont="1" applyAlignment="1">
      <alignment horizontal="center" vertical="center" wrapText="1"/>
    </xf>
    <xf numFmtId="0" fontId="37" fillId="0" borderId="0" xfId="0" applyFont="1"/>
    <xf numFmtId="165" fontId="6" fillId="2" borderId="29" xfId="2" applyNumberFormat="1" applyFont="1" applyFill="1" applyBorder="1"/>
    <xf numFmtId="0" fontId="6" fillId="0" borderId="0" xfId="0" applyFont="1" applyAlignment="1">
      <alignment horizontal="right"/>
    </xf>
    <xf numFmtId="0" fontId="55" fillId="2" borderId="0" xfId="0" applyFont="1" applyFill="1"/>
    <xf numFmtId="0" fontId="56" fillId="2" borderId="0" xfId="0" applyFont="1" applyFill="1" applyAlignment="1">
      <alignment horizontal="center"/>
    </xf>
    <xf numFmtId="0" fontId="56" fillId="2" borderId="0" xfId="0" applyFont="1" applyFill="1"/>
    <xf numFmtId="0" fontId="5" fillId="0" borderId="0" xfId="0" applyFont="1" applyAlignment="1">
      <alignment vertical="top"/>
    </xf>
    <xf numFmtId="0" fontId="6" fillId="21" borderId="0" xfId="0" applyFont="1" applyFill="1"/>
    <xf numFmtId="177" fontId="1" fillId="21" borderId="0" xfId="1" applyFill="1"/>
    <xf numFmtId="0" fontId="40" fillId="0" borderId="0" xfId="0" applyFont="1"/>
    <xf numFmtId="178" fontId="6" fillId="0" borderId="0" xfId="0" applyNumberFormat="1" applyFont="1"/>
    <xf numFmtId="178" fontId="6" fillId="21" borderId="0" xfId="0" applyNumberFormat="1" applyFont="1" applyFill="1"/>
    <xf numFmtId="179" fontId="1" fillId="21" borderId="0" xfId="3" applyNumberFormat="1" applyFill="1"/>
    <xf numFmtId="0" fontId="32" fillId="0" borderId="0" xfId="4" applyFont="1" applyAlignment="1">
      <alignment horizontal="center" vertical="top"/>
    </xf>
    <xf numFmtId="0" fontId="47" fillId="0" borderId="0" xfId="4" applyFont="1" applyAlignment="1">
      <alignment horizontal="center"/>
    </xf>
    <xf numFmtId="0" fontId="52" fillId="7" borderId="94" xfId="4" applyFont="1" applyFill="1" applyBorder="1" applyAlignment="1">
      <alignment horizontal="center" vertical="center"/>
    </xf>
    <xf numFmtId="165" fontId="6" fillId="7" borderId="94" xfId="2" applyNumberFormat="1" applyFont="1" applyFill="1" applyBorder="1" applyAlignment="1">
      <alignment horizontal="center" vertical="center"/>
    </xf>
    <xf numFmtId="165" fontId="6" fillId="7" borderId="95" xfId="2" applyNumberFormat="1" applyFont="1" applyFill="1" applyBorder="1" applyAlignment="1">
      <alignment horizontal="center" vertical="center"/>
    </xf>
    <xf numFmtId="0" fontId="52" fillId="0" borderId="0" xfId="4" applyFont="1" applyAlignment="1">
      <alignment vertical="top"/>
    </xf>
    <xf numFmtId="0" fontId="32" fillId="0" borderId="0" xfId="4" applyFont="1"/>
    <xf numFmtId="0" fontId="32" fillId="0" borderId="0" xfId="0" applyFont="1"/>
    <xf numFmtId="0" fontId="60" fillId="0" borderId="16" xfId="4" applyFont="1" applyBorder="1" applyAlignment="1">
      <alignment horizontal="center" vertical="center" wrapText="1"/>
    </xf>
    <xf numFmtId="3" fontId="51" fillId="20" borderId="96" xfId="4" applyNumberFormat="1" applyFont="1" applyFill="1" applyBorder="1" applyAlignment="1">
      <alignment horizontal="center" vertical="center" wrapText="1"/>
    </xf>
    <xf numFmtId="0" fontId="52" fillId="7" borderId="69" xfId="4" applyFont="1" applyFill="1" applyBorder="1" applyAlignment="1">
      <alignment horizontal="center" vertical="center"/>
    </xf>
    <xf numFmtId="165" fontId="6" fillId="7" borderId="69" xfId="2" applyNumberFormat="1" applyFont="1" applyFill="1" applyBorder="1" applyAlignment="1">
      <alignment horizontal="center" vertical="center"/>
    </xf>
    <xf numFmtId="165" fontId="6" fillId="7" borderId="100" xfId="2" applyNumberFormat="1" applyFont="1" applyFill="1" applyBorder="1" applyAlignment="1">
      <alignment horizontal="center" vertical="center"/>
    </xf>
    <xf numFmtId="165" fontId="6" fillId="0" borderId="0" xfId="2" applyNumberFormat="1" applyFont="1" applyAlignment="1">
      <alignment horizontal="center" vertical="center"/>
    </xf>
    <xf numFmtId="3" fontId="51" fillId="22" borderId="13" xfId="4" applyNumberFormat="1" applyFont="1" applyFill="1" applyBorder="1" applyAlignment="1">
      <alignment horizontal="center" vertical="center" wrapText="1"/>
    </xf>
    <xf numFmtId="178" fontId="39" fillId="23" borderId="105" xfId="2" applyNumberFormat="1" applyFont="1" applyFill="1" applyBorder="1" applyAlignment="1">
      <alignment horizontal="center" vertical="center"/>
    </xf>
    <xf numFmtId="165" fontId="39" fillId="23" borderId="105" xfId="2" applyNumberFormat="1" applyFont="1" applyFill="1" applyBorder="1" applyAlignment="1">
      <alignment horizontal="center" vertical="center"/>
    </xf>
    <xf numFmtId="165" fontId="39" fillId="23" borderId="106" xfId="2" applyNumberFormat="1" applyFont="1" applyFill="1" applyBorder="1" applyAlignment="1">
      <alignment horizontal="center" vertical="center"/>
    </xf>
    <xf numFmtId="0" fontId="5" fillId="5" borderId="1" xfId="0" applyFont="1" applyFill="1" applyBorder="1" applyAlignment="1">
      <alignment horizontal="center" vertical="center"/>
    </xf>
    <xf numFmtId="0" fontId="60" fillId="0" borderId="0" xfId="4" applyFont="1" applyAlignment="1">
      <alignment horizontal="center" vertical="center" wrapText="1"/>
    </xf>
    <xf numFmtId="3" fontId="42" fillId="2" borderId="107" xfId="4" applyNumberFormat="1" applyFont="1" applyFill="1" applyBorder="1" applyAlignment="1">
      <alignment horizontal="center" vertical="center" wrapText="1"/>
    </xf>
    <xf numFmtId="0" fontId="52" fillId="0" borderId="0" xfId="4" applyFont="1" applyAlignment="1">
      <alignment horizontal="center" vertical="top"/>
    </xf>
    <xf numFmtId="3" fontId="52" fillId="0" borderId="0" xfId="4" applyNumberFormat="1" applyFont="1" applyAlignment="1">
      <alignment horizontal="right" vertical="top"/>
    </xf>
    <xf numFmtId="3" fontId="52" fillId="0" borderId="0" xfId="4" applyNumberFormat="1" applyFont="1" applyAlignment="1">
      <alignment horizontal="right" vertical="top" wrapText="1"/>
    </xf>
    <xf numFmtId="0" fontId="32" fillId="0" borderId="108" xfId="0" applyFont="1" applyBorder="1"/>
    <xf numFmtId="0" fontId="61" fillId="0" borderId="108" xfId="4" applyFont="1" applyBorder="1" applyAlignment="1">
      <alignment horizontal="center" vertical="top" wrapText="1"/>
    </xf>
    <xf numFmtId="0" fontId="61" fillId="0" borderId="108" xfId="4" applyFont="1" applyBorder="1" applyAlignment="1">
      <alignment horizontal="right" vertical="top" wrapText="1"/>
    </xf>
    <xf numFmtId="0" fontId="52" fillId="0" borderId="108" xfId="4" applyFont="1" applyBorder="1" applyAlignment="1">
      <alignment horizontal="right" vertical="center" wrapText="1"/>
    </xf>
    <xf numFmtId="0" fontId="52" fillId="0" borderId="108" xfId="4" applyFont="1" applyBorder="1" applyAlignment="1">
      <alignment horizontal="right" vertical="center"/>
    </xf>
    <xf numFmtId="0" fontId="52" fillId="0" borderId="108" xfId="4" applyFont="1" applyBorder="1" applyAlignment="1">
      <alignment horizontal="center" vertical="top"/>
    </xf>
    <xf numFmtId="3" fontId="52" fillId="0" borderId="108" xfId="4" applyNumberFormat="1" applyFont="1" applyBorder="1" applyAlignment="1">
      <alignment horizontal="right" vertical="top"/>
    </xf>
    <xf numFmtId="3" fontId="52" fillId="0" borderId="108" xfId="4" applyNumberFormat="1" applyFont="1" applyBorder="1" applyAlignment="1">
      <alignment horizontal="right" vertical="top" wrapText="1"/>
    </xf>
    <xf numFmtId="3" fontId="62" fillId="0" borderId="0" xfId="4" applyNumberFormat="1" applyFont="1" applyAlignment="1">
      <alignment horizontal="right" vertical="center" wrapText="1"/>
    </xf>
    <xf numFmtId="0" fontId="52" fillId="0" borderId="0" xfId="4" applyFont="1" applyAlignment="1">
      <alignment horizontal="right" vertical="center"/>
    </xf>
    <xf numFmtId="3" fontId="52" fillId="0" borderId="0" xfId="4" quotePrefix="1" applyNumberFormat="1" applyFont="1" applyAlignment="1">
      <alignment horizontal="right" vertical="top"/>
    </xf>
    <xf numFmtId="3" fontId="51" fillId="0" borderId="0" xfId="4" applyNumberFormat="1" applyFont="1" applyAlignment="1">
      <alignment horizontal="right" vertical="top"/>
    </xf>
    <xf numFmtId="3" fontId="60" fillId="0" borderId="0" xfId="4" applyNumberFormat="1" applyFont="1" applyAlignment="1">
      <alignment horizontal="center" vertical="center" wrapText="1"/>
    </xf>
    <xf numFmtId="170" fontId="32" fillId="0" borderId="0" xfId="4" applyNumberFormat="1" applyFont="1" applyAlignment="1">
      <alignment horizontal="right" vertical="top"/>
    </xf>
    <xf numFmtId="4" fontId="52" fillId="0" borderId="0" xfId="4" applyNumberFormat="1" applyFont="1" applyAlignment="1">
      <alignment horizontal="right" vertical="top" wrapText="1"/>
    </xf>
    <xf numFmtId="3" fontId="63" fillId="0" borderId="0" xfId="4" applyNumberFormat="1" applyFont="1" applyAlignment="1">
      <alignment horizontal="center" vertical="center" wrapText="1"/>
    </xf>
    <xf numFmtId="3" fontId="63" fillId="0" borderId="0" xfId="4" applyNumberFormat="1" applyFont="1" applyAlignment="1">
      <alignment vertical="center" wrapText="1"/>
    </xf>
    <xf numFmtId="3" fontId="60" fillId="0" borderId="0" xfId="4" applyNumberFormat="1" applyFont="1" applyAlignment="1">
      <alignment horizontal="center" vertical="top" wrapText="1"/>
    </xf>
    <xf numFmtId="3" fontId="64" fillId="0" borderId="0" xfId="4" applyNumberFormat="1" applyFont="1" applyAlignment="1">
      <alignment horizontal="center" vertical="center" wrapText="1"/>
    </xf>
    <xf numFmtId="3" fontId="60" fillId="0" borderId="0" xfId="4" applyNumberFormat="1" applyFont="1" applyAlignment="1">
      <alignment horizontal="centerContinuous" vertical="center" wrapText="1"/>
    </xf>
    <xf numFmtId="0" fontId="0" fillId="0" borderId="0" xfId="0" applyAlignment="1">
      <alignment horizontal="centerContinuous"/>
    </xf>
    <xf numFmtId="3" fontId="65" fillId="0" borderId="0" xfId="4" applyNumberFormat="1" applyFont="1" applyAlignment="1">
      <alignment horizontal="right" vertical="center"/>
    </xf>
    <xf numFmtId="3" fontId="4" fillId="6" borderId="109" xfId="4" applyNumberFormat="1" applyFont="1" applyFill="1" applyBorder="1" applyAlignment="1">
      <alignment horizontal="center" vertical="center" wrapText="1"/>
    </xf>
    <xf numFmtId="3" fontId="65" fillId="20" borderId="109" xfId="4" applyNumberFormat="1" applyFont="1" applyFill="1" applyBorder="1" applyAlignment="1">
      <alignment horizontal="center" vertical="center" wrapText="1"/>
    </xf>
    <xf numFmtId="3" fontId="65" fillId="20" borderId="110" xfId="4" applyNumberFormat="1" applyFont="1" applyFill="1" applyBorder="1" applyAlignment="1">
      <alignment horizontal="center" vertical="center" wrapText="1"/>
    </xf>
    <xf numFmtId="3" fontId="65" fillId="20" borderId="94" xfId="4" applyNumberFormat="1" applyFont="1" applyFill="1" applyBorder="1" applyAlignment="1">
      <alignment horizontal="center" vertical="center" wrapText="1"/>
    </xf>
    <xf numFmtId="3" fontId="65" fillId="24" borderId="94" xfId="4" applyNumberFormat="1" applyFont="1" applyFill="1" applyBorder="1" applyAlignment="1">
      <alignment horizontal="center" vertical="center" wrapText="1"/>
    </xf>
    <xf numFmtId="3" fontId="4" fillId="2" borderId="94" xfId="4" applyNumberFormat="1" applyFont="1" applyFill="1" applyBorder="1" applyAlignment="1">
      <alignment horizontal="center" vertical="center" wrapText="1"/>
    </xf>
    <xf numFmtId="3" fontId="65" fillId="24" borderId="111" xfId="4" applyNumberFormat="1" applyFont="1" applyFill="1" applyBorder="1" applyAlignment="1">
      <alignment horizontal="center" vertical="center" wrapText="1"/>
    </xf>
    <xf numFmtId="3" fontId="65" fillId="16" borderId="111" xfId="4" applyNumberFormat="1" applyFont="1" applyFill="1" applyBorder="1" applyAlignment="1">
      <alignment horizontal="centerContinuous" vertical="center" wrapText="1"/>
    </xf>
    <xf numFmtId="0" fontId="66" fillId="0" borderId="0" xfId="4" applyFont="1" applyAlignment="1">
      <alignment vertical="top"/>
    </xf>
    <xf numFmtId="0" fontId="67" fillId="0" borderId="0" xfId="4" applyFont="1"/>
    <xf numFmtId="0" fontId="67" fillId="0" borderId="0" xfId="0" applyFont="1"/>
    <xf numFmtId="1" fontId="52" fillId="0" borderId="112" xfId="4" applyNumberFormat="1" applyFont="1" applyBorder="1" applyAlignment="1">
      <alignment horizontal="center"/>
    </xf>
    <xf numFmtId="0" fontId="52" fillId="0" borderId="112" xfId="4" applyFont="1" applyBorder="1" applyAlignment="1">
      <alignment horizontal="center"/>
    </xf>
    <xf numFmtId="0" fontId="52" fillId="0" borderId="68" xfId="4" applyFont="1" applyBorder="1" applyAlignment="1">
      <alignment horizontal="center"/>
    </xf>
    <xf numFmtId="0" fontId="32" fillId="0" borderId="69" xfId="4" applyFont="1" applyBorder="1"/>
    <xf numFmtId="0" fontId="32" fillId="0" borderId="69" xfId="4" applyFont="1" applyBorder="1" applyAlignment="1">
      <alignment horizontal="center"/>
    </xf>
    <xf numFmtId="180" fontId="32" fillId="0" borderId="69" xfId="4" applyNumberFormat="1" applyFont="1" applyBorder="1" applyAlignment="1">
      <alignment horizontal="center"/>
    </xf>
    <xf numFmtId="180" fontId="32" fillId="0" borderId="69" xfId="1" applyNumberFormat="1" applyFont="1" applyBorder="1" applyAlignment="1">
      <alignment horizontal="center" vertical="top"/>
    </xf>
    <xf numFmtId="180" fontId="32" fillId="0" borderId="69" xfId="4" applyNumberFormat="1" applyFont="1" applyBorder="1" applyAlignment="1">
      <alignment horizontal="center" vertical="top"/>
    </xf>
    <xf numFmtId="170" fontId="32" fillId="0" borderId="69" xfId="4" applyNumberFormat="1" applyFont="1" applyBorder="1" applyAlignment="1">
      <alignment horizontal="center" vertical="top"/>
    </xf>
    <xf numFmtId="171" fontId="32" fillId="0" borderId="69" xfId="4" applyNumberFormat="1" applyFont="1" applyBorder="1" applyAlignment="1">
      <alignment horizontal="center" vertical="top"/>
    </xf>
    <xf numFmtId="1" fontId="32" fillId="0" borderId="69" xfId="4" applyNumberFormat="1" applyFont="1" applyBorder="1" applyAlignment="1">
      <alignment horizontal="center" vertical="top"/>
    </xf>
    <xf numFmtId="170" fontId="50" fillId="0" borderId="69" xfId="4" applyNumberFormat="1" applyFont="1" applyBorder="1" applyAlignment="1">
      <alignment horizontal="center" vertical="top"/>
    </xf>
    <xf numFmtId="0" fontId="68" fillId="2" borderId="0" xfId="0" applyFont="1" applyFill="1" applyAlignment="1">
      <alignment horizontal="center"/>
    </xf>
    <xf numFmtId="1" fontId="56" fillId="2" borderId="0" xfId="0" applyNumberFormat="1" applyFont="1" applyFill="1"/>
    <xf numFmtId="181" fontId="56" fillId="2" borderId="0" xfId="0" applyNumberFormat="1" applyFont="1" applyFill="1"/>
    <xf numFmtId="0" fontId="4" fillId="3" borderId="0" xfId="0" applyFont="1" applyFill="1" applyAlignment="1">
      <alignment horizontal="center"/>
    </xf>
    <xf numFmtId="1" fontId="3" fillId="3" borderId="0" xfId="0" applyNumberFormat="1" applyFont="1" applyFill="1"/>
    <xf numFmtId="181" fontId="3" fillId="3" borderId="0" xfId="0" applyNumberFormat="1" applyFont="1" applyFill="1"/>
    <xf numFmtId="176" fontId="1" fillId="0" borderId="0" xfId="3" applyNumberFormat="1"/>
    <xf numFmtId="1" fontId="6" fillId="0" borderId="0" xfId="0" applyNumberFormat="1" applyFont="1"/>
    <xf numFmtId="181" fontId="6" fillId="0" borderId="0" xfId="0" applyNumberFormat="1" applyFont="1"/>
    <xf numFmtId="49" fontId="69" fillId="0" borderId="0" xfId="4" applyNumberFormat="1" applyFont="1" applyAlignment="1">
      <alignment vertical="top" wrapText="1"/>
    </xf>
    <xf numFmtId="177" fontId="1" fillId="0" borderId="0" xfId="1"/>
    <xf numFmtId="177" fontId="0" fillId="0" borderId="0" xfId="1" applyFont="1"/>
    <xf numFmtId="9" fontId="0" fillId="5" borderId="0" xfId="0" applyNumberFormat="1" applyFill="1" applyAlignment="1">
      <alignment horizontal="center"/>
    </xf>
    <xf numFmtId="0" fontId="70" fillId="5" borderId="0" xfId="0" applyFont="1" applyFill="1" applyAlignment="1">
      <alignment horizontal="center"/>
    </xf>
    <xf numFmtId="0" fontId="70" fillId="5" borderId="0" xfId="0" applyFont="1" applyFill="1" applyAlignment="1">
      <alignment horizontal="right"/>
    </xf>
    <xf numFmtId="10" fontId="71" fillId="5" borderId="0" xfId="1" applyNumberFormat="1" applyFont="1" applyFill="1" applyAlignment="1">
      <alignment horizontal="center"/>
    </xf>
    <xf numFmtId="182" fontId="6" fillId="0" borderId="0" xfId="0" applyNumberFormat="1" applyFont="1"/>
    <xf numFmtId="43" fontId="6" fillId="0" borderId="0" xfId="0" applyNumberFormat="1" applyFont="1"/>
    <xf numFmtId="3" fontId="69" fillId="0" borderId="0" xfId="4" applyNumberFormat="1" applyFont="1" applyAlignment="1">
      <alignment vertical="top" wrapText="1"/>
    </xf>
    <xf numFmtId="3" fontId="72" fillId="0" borderId="0" xfId="4" applyNumberFormat="1" applyFont="1" applyAlignment="1">
      <alignment horizontal="right" vertical="top"/>
    </xf>
    <xf numFmtId="0" fontId="72" fillId="0" borderId="0" xfId="4" applyFont="1" applyAlignment="1">
      <alignment horizontal="center" vertical="top"/>
    </xf>
    <xf numFmtId="0" fontId="25" fillId="0" borderId="0" xfId="0" applyFont="1" applyAlignment="1">
      <alignment horizontal="right"/>
    </xf>
    <xf numFmtId="180" fontId="25" fillId="0" borderId="1" xfId="4" applyNumberFormat="1" applyFont="1" applyBorder="1" applyAlignment="1">
      <alignment vertical="top"/>
    </xf>
    <xf numFmtId="0" fontId="25" fillId="0" borderId="0" xfId="4" applyFont="1" applyAlignment="1">
      <alignment horizontal="center" vertical="top"/>
    </xf>
    <xf numFmtId="177" fontId="25" fillId="0" borderId="0" xfId="1" applyFont="1"/>
    <xf numFmtId="170" fontId="25" fillId="0" borderId="0" xfId="4" applyNumberFormat="1" applyFont="1" applyAlignment="1">
      <alignment horizontal="right" vertical="top" wrapText="1"/>
    </xf>
    <xf numFmtId="183" fontId="25" fillId="0" borderId="1" xfId="4" applyNumberFormat="1" applyFont="1" applyBorder="1" applyAlignment="1">
      <alignment vertical="top"/>
    </xf>
    <xf numFmtId="40" fontId="25" fillId="25" borderId="1" xfId="2" applyNumberFormat="1" applyFont="1" applyFill="1" applyBorder="1" applyAlignment="1">
      <alignment horizontal="center"/>
    </xf>
    <xf numFmtId="0" fontId="25" fillId="25" borderId="1" xfId="4" applyFont="1" applyFill="1" applyBorder="1" applyAlignment="1">
      <alignment horizontal="left" vertical="top"/>
    </xf>
    <xf numFmtId="0" fontId="25" fillId="0" borderId="0" xfId="0" applyFont="1"/>
    <xf numFmtId="0" fontId="25" fillId="26" borderId="1" xfId="4" applyFont="1" applyFill="1" applyBorder="1" applyAlignment="1">
      <alignment horizontal="right"/>
    </xf>
    <xf numFmtId="184" fontId="25" fillId="26" borderId="1" xfId="2" applyNumberFormat="1" applyFont="1" applyFill="1" applyBorder="1" applyAlignment="1">
      <alignment horizontal="center"/>
    </xf>
    <xf numFmtId="183" fontId="25" fillId="0" borderId="0" xfId="4" applyNumberFormat="1" applyFont="1" applyAlignment="1">
      <alignment vertical="top"/>
    </xf>
    <xf numFmtId="10" fontId="71" fillId="5" borderId="0" xfId="1" applyNumberFormat="1" applyFont="1" applyFill="1" applyAlignment="1">
      <alignment horizontal="right"/>
    </xf>
    <xf numFmtId="9" fontId="26" fillId="0" borderId="0" xfId="3" applyFont="1" applyAlignment="1">
      <alignment horizontal="center"/>
    </xf>
    <xf numFmtId="0" fontId="25" fillId="27" borderId="0" xfId="0" applyFont="1" applyFill="1"/>
    <xf numFmtId="185" fontId="25" fillId="0" borderId="0" xfId="4" applyNumberFormat="1" applyFont="1" applyAlignment="1">
      <alignment vertical="top"/>
    </xf>
    <xf numFmtId="9" fontId="20" fillId="5" borderId="0" xfId="0" applyNumberFormat="1" applyFont="1" applyFill="1" applyAlignment="1">
      <alignment horizontal="center"/>
    </xf>
    <xf numFmtId="182" fontId="0" fillId="0" borderId="0" xfId="0" applyNumberFormat="1"/>
    <xf numFmtId="0" fontId="57" fillId="0" borderId="0" xfId="0" applyFont="1"/>
    <xf numFmtId="0" fontId="5" fillId="0" borderId="0" xfId="4" applyFont="1"/>
    <xf numFmtId="0" fontId="72" fillId="0" borderId="0" xfId="4" applyFont="1" applyAlignment="1">
      <alignment horizontal="right" vertical="top"/>
    </xf>
    <xf numFmtId="182" fontId="72" fillId="0" borderId="0" xfId="4" applyNumberFormat="1" applyFont="1" applyAlignment="1">
      <alignment horizontal="right" vertical="top"/>
    </xf>
    <xf numFmtId="43" fontId="72" fillId="0" borderId="0" xfId="4" applyNumberFormat="1" applyFont="1" applyAlignment="1">
      <alignment horizontal="right" vertical="top"/>
    </xf>
    <xf numFmtId="168" fontId="72" fillId="0" borderId="0" xfId="4" applyNumberFormat="1" applyFont="1" applyAlignment="1">
      <alignment horizontal="right" vertical="top"/>
    </xf>
    <xf numFmtId="168" fontId="69" fillId="0" borderId="0" xfId="4" applyNumberFormat="1" applyFont="1" applyAlignment="1">
      <alignment horizontal="right" vertical="top"/>
    </xf>
    <xf numFmtId="9" fontId="0" fillId="5" borderId="0" xfId="0" applyNumberFormat="1" applyFill="1" applyAlignment="1">
      <alignment horizontal="right"/>
    </xf>
    <xf numFmtId="182" fontId="73" fillId="5" borderId="0" xfId="4" applyNumberFormat="1" applyFont="1" applyFill="1" applyAlignment="1">
      <alignment horizontal="right" vertical="top"/>
    </xf>
    <xf numFmtId="182" fontId="0" fillId="28" borderId="0" xfId="0" applyNumberFormat="1" applyFill="1"/>
    <xf numFmtId="41" fontId="72" fillId="0" borderId="0" xfId="4" applyNumberFormat="1" applyFont="1" applyAlignment="1">
      <alignment horizontal="right" vertical="top"/>
    </xf>
    <xf numFmtId="170" fontId="74" fillId="0" borderId="0" xfId="4" applyNumberFormat="1" applyFont="1" applyAlignment="1">
      <alignment horizontal="right" vertical="top"/>
    </xf>
    <xf numFmtId="43" fontId="75" fillId="0" borderId="0" xfId="0" applyNumberFormat="1" applyFont="1" applyAlignment="1">
      <alignment horizontal="right" vertical="top" wrapText="1"/>
    </xf>
    <xf numFmtId="182" fontId="73" fillId="5" borderId="0" xfId="1" applyNumberFormat="1" applyFont="1" applyFill="1" applyAlignment="1">
      <alignment horizontal="right" vertical="top"/>
    </xf>
    <xf numFmtId="182" fontId="73" fillId="5" borderId="0" xfId="4" applyNumberFormat="1" applyFont="1" applyFill="1" applyAlignment="1">
      <alignment horizontal="center" vertical="top"/>
    </xf>
    <xf numFmtId="41" fontId="71" fillId="0" borderId="0" xfId="0" applyNumberFormat="1" applyFont="1" applyAlignment="1">
      <alignment horizontal="right" vertical="top" wrapText="1"/>
    </xf>
    <xf numFmtId="183" fontId="76" fillId="0" borderId="0" xfId="4" applyNumberFormat="1" applyFont="1" applyAlignment="1">
      <alignment vertical="top"/>
    </xf>
    <xf numFmtId="183" fontId="72" fillId="0" borderId="0" xfId="4" applyNumberFormat="1" applyFont="1" applyAlignment="1">
      <alignment vertical="top"/>
    </xf>
    <xf numFmtId="9" fontId="1" fillId="0" borderId="0" xfId="3"/>
    <xf numFmtId="185" fontId="72" fillId="0" borderId="0" xfId="4" applyNumberFormat="1" applyFont="1" applyAlignment="1">
      <alignment vertical="top"/>
    </xf>
    <xf numFmtId="180" fontId="72" fillId="0" borderId="0" xfId="4" applyNumberFormat="1" applyFont="1" applyAlignment="1">
      <alignment vertical="top"/>
    </xf>
    <xf numFmtId="180" fontId="69" fillId="0" borderId="0" xfId="4" applyNumberFormat="1" applyFont="1" applyAlignment="1">
      <alignment vertical="top"/>
    </xf>
    <xf numFmtId="180" fontId="77" fillId="0" borderId="0" xfId="4" applyNumberFormat="1" applyFont="1" applyAlignment="1">
      <alignment vertical="top"/>
    </xf>
    <xf numFmtId="1" fontId="1" fillId="7" borderId="114" xfId="1" applyNumberFormat="1" applyFill="1" applyBorder="1"/>
    <xf numFmtId="165" fontId="6" fillId="7" borderId="34" xfId="2" applyNumberFormat="1" applyFont="1" applyFill="1" applyBorder="1" applyAlignment="1">
      <alignment horizontal="center" vertical="center"/>
    </xf>
    <xf numFmtId="165" fontId="6" fillId="7" borderId="110" xfId="2" applyNumberFormat="1" applyFont="1" applyFill="1" applyBorder="1" applyAlignment="1">
      <alignment horizontal="center" vertical="center"/>
    </xf>
    <xf numFmtId="182" fontId="1" fillId="7" borderId="94" xfId="1" applyNumberFormat="1" applyFill="1" applyBorder="1"/>
    <xf numFmtId="182" fontId="0" fillId="7" borderId="114" xfId="1" applyNumberFormat="1" applyFont="1" applyFill="1" applyBorder="1"/>
    <xf numFmtId="182" fontId="1" fillId="7" borderId="115" xfId="1" applyNumberFormat="1" applyFill="1" applyBorder="1"/>
    <xf numFmtId="181" fontId="1" fillId="7" borderId="110" xfId="1" applyNumberFormat="1" applyFill="1" applyBorder="1"/>
    <xf numFmtId="1" fontId="1" fillId="7" borderId="95" xfId="1" applyNumberFormat="1" applyFill="1" applyBorder="1"/>
    <xf numFmtId="1" fontId="1" fillId="7" borderId="34" xfId="1" applyNumberFormat="1" applyFill="1" applyBorder="1"/>
    <xf numFmtId="3" fontId="1" fillId="7" borderId="34" xfId="1" applyNumberFormat="1" applyFill="1" applyBorder="1"/>
    <xf numFmtId="42" fontId="1" fillId="7" borderId="34" xfId="1" applyNumberFormat="1" applyFill="1" applyBorder="1"/>
    <xf numFmtId="165" fontId="6" fillId="7" borderId="33" xfId="2" applyNumberFormat="1" applyFont="1" applyFill="1" applyBorder="1" applyAlignment="1">
      <alignment horizontal="center" vertical="center"/>
    </xf>
    <xf numFmtId="165" fontId="6" fillId="7" borderId="35" xfId="2" applyNumberFormat="1" applyFont="1" applyFill="1" applyBorder="1" applyAlignment="1">
      <alignment horizontal="center" vertical="center"/>
    </xf>
    <xf numFmtId="182" fontId="72" fillId="0" borderId="0" xfId="4" applyNumberFormat="1" applyFont="1" applyAlignment="1">
      <alignment vertical="top"/>
    </xf>
    <xf numFmtId="182" fontId="69" fillId="0" borderId="0" xfId="4" applyNumberFormat="1" applyFont="1" applyAlignment="1">
      <alignment vertical="top"/>
    </xf>
    <xf numFmtId="182" fontId="72" fillId="5" borderId="0" xfId="1" applyNumberFormat="1" applyFont="1" applyFill="1" applyAlignment="1">
      <alignment vertical="top" wrapText="1"/>
    </xf>
    <xf numFmtId="1" fontId="1" fillId="7" borderId="67" xfId="1" applyNumberFormat="1" applyFill="1" applyBorder="1"/>
    <xf numFmtId="165" fontId="6" fillId="7" borderId="117" xfId="2" applyNumberFormat="1" applyFont="1" applyFill="1" applyBorder="1" applyAlignment="1">
      <alignment horizontal="center" vertical="center"/>
    </xf>
    <xf numFmtId="165" fontId="6" fillId="7" borderId="68" xfId="2" applyNumberFormat="1" applyFont="1" applyFill="1" applyBorder="1" applyAlignment="1">
      <alignment horizontal="center" vertical="center"/>
    </xf>
    <xf numFmtId="182" fontId="1" fillId="7" borderId="69" xfId="1" applyNumberFormat="1" applyFill="1" applyBorder="1"/>
    <xf numFmtId="182" fontId="0" fillId="7" borderId="67" xfId="1" applyNumberFormat="1" applyFont="1" applyFill="1" applyBorder="1"/>
    <xf numFmtId="182" fontId="1" fillId="7" borderId="1" xfId="1" applyNumberFormat="1" applyFill="1" applyBorder="1"/>
    <xf numFmtId="181" fontId="1" fillId="7" borderId="68" xfId="1" applyNumberFormat="1" applyFill="1" applyBorder="1"/>
    <xf numFmtId="1" fontId="1" fillId="7" borderId="100" xfId="1" applyNumberFormat="1" applyFill="1" applyBorder="1"/>
    <xf numFmtId="1" fontId="1" fillId="7" borderId="117" xfId="1" applyNumberFormat="1" applyFill="1" applyBorder="1"/>
    <xf numFmtId="3" fontId="1" fillId="7" borderId="117" xfId="1" applyNumberFormat="1" applyFill="1" applyBorder="1"/>
    <xf numFmtId="42" fontId="1" fillId="7" borderId="117" xfId="1" applyNumberFormat="1" applyFill="1" applyBorder="1"/>
    <xf numFmtId="165" fontId="6" fillId="7" borderId="116" xfId="2" applyNumberFormat="1" applyFont="1" applyFill="1" applyBorder="1" applyAlignment="1">
      <alignment horizontal="center" vertical="center"/>
    </xf>
    <xf numFmtId="165" fontId="6" fillId="7" borderId="118" xfId="2" applyNumberFormat="1" applyFont="1" applyFill="1" applyBorder="1" applyAlignment="1">
      <alignment horizontal="center" vertical="center"/>
    </xf>
    <xf numFmtId="0" fontId="59" fillId="6" borderId="1" xfId="0" applyFont="1" applyFill="1" applyBorder="1" applyAlignment="1">
      <alignment horizontal="center" vertical="center"/>
    </xf>
    <xf numFmtId="165" fontId="6" fillId="7" borderId="98" xfId="2" applyNumberFormat="1" applyFont="1" applyFill="1" applyBorder="1" applyAlignment="1">
      <alignment horizontal="center" vertical="center"/>
    </xf>
    <xf numFmtId="1" fontId="1" fillId="7" borderId="119" xfId="1" applyNumberFormat="1" applyFill="1" applyBorder="1"/>
    <xf numFmtId="165" fontId="6" fillId="7" borderId="99" xfId="2" applyNumberFormat="1" applyFont="1" applyFill="1" applyBorder="1" applyAlignment="1">
      <alignment horizontal="center" vertical="center"/>
    </xf>
    <xf numFmtId="181" fontId="1" fillId="7" borderId="99" xfId="1" applyNumberFormat="1" applyFill="1" applyBorder="1"/>
    <xf numFmtId="1" fontId="1" fillId="7" borderId="120" xfId="1" applyNumberFormat="1" applyFill="1" applyBorder="1"/>
    <xf numFmtId="1" fontId="1" fillId="7" borderId="98" xfId="1" applyNumberFormat="1" applyFill="1" applyBorder="1"/>
    <xf numFmtId="3" fontId="1" fillId="7" borderId="98" xfId="1" applyNumberFormat="1" applyFill="1" applyBorder="1"/>
    <xf numFmtId="42" fontId="1" fillId="7" borderId="98" xfId="1" applyNumberFormat="1" applyFill="1" applyBorder="1"/>
    <xf numFmtId="182" fontId="11" fillId="23" borderId="104" xfId="1" applyNumberFormat="1" applyFont="1" applyFill="1" applyBorder="1" applyAlignment="1">
      <alignment vertical="center"/>
    </xf>
    <xf numFmtId="165" fontId="39" fillId="23" borderId="102" xfId="2" applyNumberFormat="1" applyFont="1" applyFill="1" applyBorder="1" applyAlignment="1">
      <alignment horizontal="center" vertical="center"/>
    </xf>
    <xf numFmtId="165" fontId="39" fillId="23" borderId="103" xfId="2" applyNumberFormat="1" applyFont="1" applyFill="1" applyBorder="1" applyAlignment="1">
      <alignment horizontal="center" vertical="center"/>
    </xf>
    <xf numFmtId="182" fontId="11" fillId="23" borderId="105" xfId="1" applyNumberFormat="1" applyFont="1" applyFill="1" applyBorder="1" applyAlignment="1">
      <alignment vertical="center"/>
    </xf>
    <xf numFmtId="10" fontId="11" fillId="23" borderId="105" xfId="1" applyNumberFormat="1" applyFont="1" applyFill="1" applyBorder="1" applyAlignment="1">
      <alignment vertical="center"/>
    </xf>
    <xf numFmtId="186" fontId="11" fillId="23" borderId="106" xfId="1" applyNumberFormat="1" applyFont="1" applyFill="1" applyBorder="1" applyAlignment="1">
      <alignment vertical="center"/>
    </xf>
    <xf numFmtId="182" fontId="11" fillId="23" borderId="104" xfId="1" applyNumberFormat="1" applyFont="1" applyFill="1" applyBorder="1"/>
    <xf numFmtId="186" fontId="11" fillId="23" borderId="102" xfId="1" applyNumberFormat="1" applyFont="1" applyFill="1" applyBorder="1" applyAlignment="1">
      <alignment vertical="center"/>
    </xf>
    <xf numFmtId="3" fontId="11" fillId="23" borderId="102" xfId="1" applyNumberFormat="1" applyFont="1" applyFill="1" applyBorder="1" applyAlignment="1">
      <alignment vertical="center"/>
    </xf>
    <xf numFmtId="42" fontId="11" fillId="23" borderId="102" xfId="1" applyNumberFormat="1" applyFont="1" applyFill="1" applyBorder="1" applyAlignment="1">
      <alignment vertical="center"/>
    </xf>
    <xf numFmtId="182" fontId="11" fillId="23" borderId="101" xfId="1" applyNumberFormat="1" applyFont="1" applyFill="1" applyBorder="1"/>
    <xf numFmtId="182" fontId="11" fillId="23" borderId="106" xfId="1" applyNumberFormat="1" applyFont="1" applyFill="1" applyBorder="1"/>
    <xf numFmtId="182" fontId="11" fillId="23" borderId="102" xfId="1" applyNumberFormat="1" applyFont="1" applyFill="1" applyBorder="1"/>
    <xf numFmtId="183" fontId="69" fillId="0" borderId="0" xfId="4" applyNumberFormat="1" applyFont="1" applyAlignment="1">
      <alignment vertical="top"/>
    </xf>
    <xf numFmtId="0" fontId="5" fillId="0" borderId="108" xfId="0" applyFont="1" applyBorder="1"/>
    <xf numFmtId="0" fontId="32" fillId="0" borderId="108" xfId="0" applyFont="1" applyBorder="1" applyAlignment="1">
      <alignment horizontal="center"/>
    </xf>
    <xf numFmtId="182" fontId="32" fillId="0" borderId="108" xfId="4" applyNumberFormat="1" applyFont="1" applyBorder="1" applyAlignment="1">
      <alignment horizontal="right" vertical="top"/>
    </xf>
    <xf numFmtId="1" fontId="32" fillId="0" borderId="108" xfId="4" applyNumberFormat="1" applyFont="1" applyBorder="1" applyAlignment="1">
      <alignment horizontal="right" vertical="top"/>
    </xf>
    <xf numFmtId="181" fontId="32" fillId="0" borderId="108" xfId="4" applyNumberFormat="1" applyFont="1" applyBorder="1" applyAlignment="1">
      <alignment horizontal="right" vertical="top"/>
    </xf>
    <xf numFmtId="182" fontId="72" fillId="0" borderId="108" xfId="4" applyNumberFormat="1" applyFont="1" applyBorder="1" applyAlignment="1">
      <alignment horizontal="right" vertical="top"/>
    </xf>
    <xf numFmtId="182" fontId="72" fillId="0" borderId="108" xfId="4" applyNumberFormat="1" applyFont="1" applyBorder="1" applyAlignment="1">
      <alignment horizontal="right" vertical="top" wrapText="1"/>
    </xf>
    <xf numFmtId="42" fontId="32" fillId="0" borderId="108" xfId="4" applyNumberFormat="1" applyFont="1" applyBorder="1" applyAlignment="1">
      <alignment horizontal="right" vertical="top"/>
    </xf>
    <xf numFmtId="167" fontId="32" fillId="28" borderId="108" xfId="4" applyNumberFormat="1" applyFont="1" applyFill="1" applyBorder="1" applyAlignment="1">
      <alignment horizontal="right" vertical="top"/>
    </xf>
    <xf numFmtId="182" fontId="72" fillId="28" borderId="108" xfId="4" applyNumberFormat="1" applyFont="1" applyFill="1" applyBorder="1" applyAlignment="1">
      <alignment horizontal="center" vertical="top"/>
    </xf>
    <xf numFmtId="182" fontId="78" fillId="0" borderId="108" xfId="4" applyNumberFormat="1" applyFont="1" applyBorder="1" applyAlignment="1">
      <alignment horizontal="right" vertical="top" wrapText="1"/>
    </xf>
    <xf numFmtId="0" fontId="31" fillId="0" borderId="108" xfId="0" applyFont="1" applyBorder="1" applyAlignment="1">
      <alignment horizontal="center" vertical="center" wrapText="1"/>
    </xf>
    <xf numFmtId="182" fontId="72" fillId="0" borderId="108" xfId="4" applyNumberFormat="1" applyFont="1" applyBorder="1" applyAlignment="1">
      <alignment horizontal="center" vertical="center" wrapText="1"/>
    </xf>
    <xf numFmtId="43" fontId="75" fillId="0" borderId="108" xfId="0" applyNumberFormat="1" applyFont="1" applyBorder="1" applyAlignment="1">
      <alignment horizontal="right" vertical="top" wrapText="1"/>
    </xf>
    <xf numFmtId="183" fontId="72" fillId="0" borderId="108" xfId="4" applyNumberFormat="1" applyFont="1" applyBorder="1" applyAlignment="1">
      <alignment vertical="top" wrapText="1"/>
    </xf>
    <xf numFmtId="185" fontId="72" fillId="0" borderId="108" xfId="4" applyNumberFormat="1" applyFont="1" applyBorder="1" applyAlignment="1">
      <alignment vertical="top" wrapText="1"/>
    </xf>
    <xf numFmtId="183" fontId="69" fillId="0" borderId="108" xfId="4" applyNumberFormat="1" applyFont="1" applyBorder="1" applyAlignment="1">
      <alignment vertical="top" wrapText="1"/>
    </xf>
    <xf numFmtId="182" fontId="73" fillId="5" borderId="0" xfId="4" applyNumberFormat="1" applyFont="1" applyFill="1" applyAlignment="1">
      <alignment horizontal="right" vertical="center"/>
    </xf>
    <xf numFmtId="1" fontId="60" fillId="0" borderId="0" xfId="4" applyNumberFormat="1" applyFont="1" applyAlignment="1">
      <alignment horizontal="center" vertical="center" wrapText="1"/>
    </xf>
    <xf numFmtId="181" fontId="60" fillId="0" borderId="0" xfId="4" applyNumberFormat="1" applyFont="1" applyAlignment="1">
      <alignment horizontal="center" vertical="center" wrapText="1"/>
    </xf>
    <xf numFmtId="182" fontId="72" fillId="0" borderId="0" xfId="4" applyNumberFormat="1" applyFont="1" applyAlignment="1">
      <alignment horizontal="right" vertical="top" wrapText="1"/>
    </xf>
    <xf numFmtId="182" fontId="78" fillId="0" borderId="0" xfId="4" applyNumberFormat="1" applyFont="1" applyAlignment="1">
      <alignment horizontal="right" vertical="top" wrapText="1"/>
    </xf>
    <xf numFmtId="0" fontId="31" fillId="0" borderId="0" xfId="0" applyFont="1" applyAlignment="1">
      <alignment horizontal="center" vertical="center" wrapText="1"/>
    </xf>
    <xf numFmtId="182" fontId="72" fillId="0" borderId="0" xfId="4" applyNumberFormat="1" applyFont="1" applyAlignment="1">
      <alignment horizontal="center" vertical="center" wrapText="1"/>
    </xf>
    <xf numFmtId="183" fontId="72" fillId="0" borderId="0" xfId="4" applyNumberFormat="1" applyFont="1" applyAlignment="1">
      <alignment vertical="top" wrapText="1"/>
    </xf>
    <xf numFmtId="183" fontId="69" fillId="0" borderId="0" xfId="4" applyNumberFormat="1" applyFont="1" applyAlignment="1">
      <alignment vertical="top" wrapText="1"/>
    </xf>
    <xf numFmtId="182" fontId="77" fillId="0" borderId="0" xfId="4" applyNumberFormat="1" applyFont="1" applyAlignment="1">
      <alignment vertical="top"/>
    </xf>
    <xf numFmtId="182" fontId="72" fillId="5" borderId="0" xfId="1" applyNumberFormat="1" applyFont="1" applyFill="1" applyAlignment="1">
      <alignment horizontal="right"/>
    </xf>
    <xf numFmtId="1" fontId="79" fillId="0" borderId="0" xfId="4" applyNumberFormat="1" applyFont="1" applyAlignment="1">
      <alignment horizontal="center" vertical="center" wrapText="1"/>
    </xf>
    <xf numFmtId="3" fontId="79" fillId="0" borderId="0" xfId="4" applyNumberFormat="1" applyFont="1" applyAlignment="1">
      <alignment horizontal="center" vertical="center" wrapText="1"/>
    </xf>
    <xf numFmtId="0" fontId="80" fillId="0" borderId="0" xfId="0" applyFont="1"/>
    <xf numFmtId="170" fontId="7" fillId="0" borderId="0" xfId="0" applyNumberFormat="1" applyFont="1" applyAlignment="1">
      <alignment horizontal="center" vertical="top"/>
    </xf>
    <xf numFmtId="183" fontId="82" fillId="0" borderId="0" xfId="4" applyNumberFormat="1" applyFont="1" applyAlignment="1">
      <alignment vertical="top"/>
    </xf>
    <xf numFmtId="3" fontId="4" fillId="6" borderId="121" xfId="4" applyNumberFormat="1" applyFont="1" applyFill="1" applyBorder="1" applyAlignment="1">
      <alignment horizontal="center" vertical="center" wrapText="1"/>
    </xf>
    <xf numFmtId="3" fontId="65" fillId="20" borderId="122" xfId="4" applyNumberFormat="1" applyFont="1" applyFill="1" applyBorder="1" applyAlignment="1">
      <alignment horizontal="center" vertical="center" wrapText="1"/>
    </xf>
    <xf numFmtId="3" fontId="65" fillId="20" borderId="93" xfId="4" applyNumberFormat="1" applyFont="1" applyFill="1" applyBorder="1" applyAlignment="1">
      <alignment horizontal="center" vertical="center" wrapText="1"/>
    </xf>
    <xf numFmtId="3" fontId="65" fillId="20" borderId="123" xfId="4" applyNumberFormat="1" applyFont="1" applyFill="1" applyBorder="1" applyAlignment="1">
      <alignment horizontal="center" vertical="center" wrapText="1"/>
    </xf>
    <xf numFmtId="3" fontId="4" fillId="2" borderId="123" xfId="4" applyNumberFormat="1" applyFont="1" applyFill="1" applyBorder="1" applyAlignment="1">
      <alignment horizontal="center" vertical="center" wrapText="1"/>
    </xf>
    <xf numFmtId="1" fontId="4" fillId="2" borderId="123" xfId="4" applyNumberFormat="1" applyFont="1" applyFill="1" applyBorder="1" applyAlignment="1">
      <alignment horizontal="center" vertical="center" wrapText="1"/>
    </xf>
    <xf numFmtId="181" fontId="4" fillId="2" borderId="123" xfId="4" applyNumberFormat="1" applyFont="1" applyFill="1" applyBorder="1" applyAlignment="1">
      <alignment horizontal="center" vertical="center" wrapText="1"/>
    </xf>
    <xf numFmtId="3" fontId="83" fillId="20" borderId="123" xfId="4" applyNumberFormat="1" applyFont="1" applyFill="1" applyBorder="1" applyAlignment="1">
      <alignment horizontal="center" vertical="center" wrapText="1"/>
    </xf>
    <xf numFmtId="182" fontId="84" fillId="2" borderId="0" xfId="4" applyNumberFormat="1" applyFont="1" applyFill="1" applyAlignment="1">
      <alignment horizontal="center" vertical="center" wrapText="1"/>
    </xf>
    <xf numFmtId="182" fontId="84" fillId="2" borderId="34" xfId="4" applyNumberFormat="1" applyFont="1" applyFill="1" applyBorder="1" applyAlignment="1">
      <alignment horizontal="center" vertical="center" wrapText="1"/>
    </xf>
    <xf numFmtId="0" fontId="85" fillId="30" borderId="124" xfId="4" applyFont="1" applyFill="1" applyBorder="1" applyAlignment="1">
      <alignment horizontal="left" vertical="center" wrapText="1"/>
    </xf>
    <xf numFmtId="0" fontId="85" fillId="30" borderId="12" xfId="4" applyFont="1" applyFill="1" applyBorder="1" applyAlignment="1">
      <alignment horizontal="left" vertical="center" wrapText="1"/>
    </xf>
    <xf numFmtId="182" fontId="84" fillId="27" borderId="34" xfId="4" applyNumberFormat="1" applyFont="1" applyFill="1" applyBorder="1" applyAlignment="1">
      <alignment horizontal="center" vertical="center" wrapText="1"/>
    </xf>
    <xf numFmtId="182" fontId="84" fillId="2" borderId="35" xfId="4" applyNumberFormat="1" applyFont="1" applyFill="1" applyBorder="1" applyAlignment="1">
      <alignment horizontal="center" vertical="center" wrapText="1"/>
    </xf>
    <xf numFmtId="182" fontId="69" fillId="0" borderId="0" xfId="4" applyNumberFormat="1" applyFont="1" applyAlignment="1">
      <alignment horizontal="right" vertical="top" wrapText="1"/>
    </xf>
    <xf numFmtId="0" fontId="85" fillId="31" borderId="125" xfId="4" applyFont="1" applyFill="1" applyBorder="1" applyAlignment="1">
      <alignment horizontal="center" vertical="center" wrapText="1"/>
    </xf>
    <xf numFmtId="0" fontId="85" fillId="31" borderId="115" xfId="4" applyFont="1" applyFill="1" applyBorder="1" applyAlignment="1">
      <alignment horizontal="left" vertical="center" wrapText="1"/>
    </xf>
    <xf numFmtId="182" fontId="84" fillId="29" borderId="115" xfId="4" applyNumberFormat="1" applyFont="1" applyFill="1" applyBorder="1" applyAlignment="1">
      <alignment horizontal="center" vertical="center" wrapText="1"/>
    </xf>
    <xf numFmtId="182" fontId="84" fillId="2" borderId="115" xfId="4" applyNumberFormat="1" applyFont="1" applyFill="1" applyBorder="1" applyAlignment="1">
      <alignment horizontal="center" vertical="center" wrapText="1"/>
    </xf>
    <xf numFmtId="182" fontId="84" fillId="2" borderId="126" xfId="4" applyNumberFormat="1" applyFont="1" applyFill="1" applyBorder="1" applyAlignment="1">
      <alignment horizontal="center" vertical="center" wrapText="1"/>
    </xf>
    <xf numFmtId="182" fontId="84" fillId="2" borderId="127" xfId="4" applyNumberFormat="1" applyFont="1" applyFill="1" applyBorder="1" applyAlignment="1">
      <alignment horizontal="center" vertical="center" wrapText="1"/>
    </xf>
    <xf numFmtId="3" fontId="65" fillId="24" borderId="12" xfId="4" applyNumberFormat="1" applyFont="1" applyFill="1" applyBorder="1" applyAlignment="1">
      <alignment horizontal="center" vertical="center" wrapText="1"/>
    </xf>
    <xf numFmtId="0" fontId="0" fillId="0" borderId="0" xfId="0" applyAlignment="1">
      <alignment wrapText="1"/>
    </xf>
    <xf numFmtId="182" fontId="86" fillId="16" borderId="33" xfId="4" applyNumberFormat="1" applyFont="1" applyFill="1" applyBorder="1" applyAlignment="1">
      <alignment horizontal="centerContinuous" vertical="center" wrapText="1"/>
    </xf>
    <xf numFmtId="182" fontId="86" fillId="16" borderId="128" xfId="4" applyNumberFormat="1" applyFont="1" applyFill="1" applyBorder="1" applyAlignment="1">
      <alignment horizontal="centerContinuous" vertical="center" wrapText="1"/>
    </xf>
    <xf numFmtId="182" fontId="86" fillId="16" borderId="34" xfId="4" applyNumberFormat="1" applyFont="1" applyFill="1" applyBorder="1" applyAlignment="1">
      <alignment horizontal="centerContinuous" vertical="center" wrapText="1"/>
    </xf>
    <xf numFmtId="182" fontId="86" fillId="16" borderId="35" xfId="4" applyNumberFormat="1" applyFont="1" applyFill="1" applyBorder="1" applyAlignment="1">
      <alignment horizontal="centerContinuous" vertical="center" wrapText="1"/>
    </xf>
    <xf numFmtId="0" fontId="81" fillId="32" borderId="129" xfId="4" applyFont="1" applyFill="1" applyBorder="1" applyAlignment="1">
      <alignment horizontal="left" vertical="center" wrapText="1"/>
    </xf>
    <xf numFmtId="183" fontId="87" fillId="0" borderId="0" xfId="4" applyNumberFormat="1" applyFont="1" applyAlignment="1">
      <alignment horizontal="right" vertical="top" wrapText="1"/>
    </xf>
    <xf numFmtId="1" fontId="52" fillId="0" borderId="130" xfId="4" applyNumberFormat="1" applyFont="1" applyBorder="1" applyAlignment="1">
      <alignment horizontal="center"/>
    </xf>
    <xf numFmtId="0" fontId="52" fillId="0" borderId="112" xfId="4" applyFont="1" applyBorder="1"/>
    <xf numFmtId="0" fontId="52" fillId="0" borderId="68" xfId="4" applyFont="1" applyBorder="1"/>
    <xf numFmtId="0" fontId="52" fillId="0" borderId="69" xfId="4" applyFont="1" applyBorder="1" applyAlignment="1">
      <alignment horizontal="center"/>
    </xf>
    <xf numFmtId="3" fontId="52" fillId="0" borderId="69" xfId="4" applyNumberFormat="1" applyFont="1" applyBorder="1" applyAlignment="1">
      <alignment horizontal="center"/>
    </xf>
    <xf numFmtId="10" fontId="52" fillId="0" borderId="67" xfId="4" applyNumberFormat="1" applyFont="1" applyBorder="1" applyAlignment="1">
      <alignment horizontal="center"/>
    </xf>
    <xf numFmtId="10" fontId="52" fillId="0" borderId="69" xfId="4" applyNumberFormat="1" applyFont="1" applyBorder="1" applyAlignment="1">
      <alignment horizontal="center"/>
    </xf>
    <xf numFmtId="168" fontId="52" fillId="0" borderId="67" xfId="4" applyNumberFormat="1" applyFont="1" applyBorder="1" applyAlignment="1">
      <alignment horizontal="center"/>
    </xf>
    <xf numFmtId="166" fontId="52" fillId="0" borderId="69" xfId="4" applyNumberFormat="1" applyFont="1" applyBorder="1" applyAlignment="1">
      <alignment horizontal="center"/>
    </xf>
    <xf numFmtId="10" fontId="52" fillId="0" borderId="68" xfId="4" applyNumberFormat="1" applyFont="1" applyBorder="1" applyAlignment="1">
      <alignment horizontal="center"/>
    </xf>
    <xf numFmtId="9" fontId="1" fillId="0" borderId="131" xfId="3" applyBorder="1" applyAlignment="1">
      <alignment horizontal="center"/>
    </xf>
    <xf numFmtId="168" fontId="52" fillId="0" borderId="68" xfId="4" applyNumberFormat="1" applyFont="1" applyBorder="1" applyAlignment="1">
      <alignment horizontal="center"/>
    </xf>
    <xf numFmtId="42" fontId="52" fillId="0" borderId="67" xfId="4" applyNumberFormat="1" applyFont="1" applyBorder="1" applyAlignment="1">
      <alignment horizontal="center"/>
    </xf>
    <xf numFmtId="166" fontId="52" fillId="0" borderId="68" xfId="4" applyNumberFormat="1" applyFont="1" applyBorder="1" applyAlignment="1">
      <alignment horizontal="center"/>
    </xf>
    <xf numFmtId="9" fontId="1" fillId="0" borderId="132" xfId="3" applyBorder="1"/>
    <xf numFmtId="44" fontId="52" fillId="0" borderId="1" xfId="4" applyNumberFormat="1" applyFont="1" applyBorder="1" applyAlignment="1">
      <alignment horizontal="center"/>
    </xf>
    <xf numFmtId="42" fontId="52" fillId="0" borderId="1" xfId="4" applyNumberFormat="1" applyFont="1" applyBorder="1" applyAlignment="1">
      <alignment horizontal="center"/>
    </xf>
    <xf numFmtId="44" fontId="52" fillId="0" borderId="15" xfId="4" applyNumberFormat="1" applyFont="1" applyBorder="1" applyAlignment="1">
      <alignment horizontal="center"/>
    </xf>
    <xf numFmtId="44" fontId="52" fillId="0" borderId="112" xfId="4" applyNumberFormat="1" applyFont="1" applyBorder="1" applyAlignment="1">
      <alignment horizontal="center"/>
    </xf>
    <xf numFmtId="1" fontId="52" fillId="0" borderId="69" xfId="4" applyNumberFormat="1" applyFont="1" applyBorder="1" applyAlignment="1">
      <alignment horizontal="center"/>
    </xf>
    <xf numFmtId="44" fontId="52" fillId="0" borderId="69" xfId="4" applyNumberFormat="1" applyFont="1" applyBorder="1" applyAlignment="1">
      <alignment horizontal="center"/>
    </xf>
    <xf numFmtId="1" fontId="52" fillId="0" borderId="100" xfId="4" applyNumberFormat="1" applyFont="1" applyBorder="1" applyAlignment="1">
      <alignment horizontal="center"/>
    </xf>
    <xf numFmtId="183" fontId="88" fillId="33" borderId="13" xfId="4" applyNumberFormat="1" applyFont="1" applyFill="1" applyBorder="1" applyAlignment="1">
      <alignment vertical="top"/>
    </xf>
    <xf numFmtId="187" fontId="0" fillId="0" borderId="0" xfId="0" applyNumberFormat="1"/>
    <xf numFmtId="10" fontId="0" fillId="0" borderId="0" xfId="0" applyNumberFormat="1"/>
    <xf numFmtId="1" fontId="52" fillId="0" borderId="133" xfId="4" applyNumberFormat="1" applyFont="1" applyBorder="1" applyAlignment="1">
      <alignment horizontal="center"/>
    </xf>
    <xf numFmtId="0" fontId="48" fillId="28" borderId="69" xfId="4" applyFont="1" applyFill="1" applyBorder="1" applyAlignment="1">
      <alignment horizontal="center"/>
    </xf>
    <xf numFmtId="0" fontId="48" fillId="0" borderId="69" xfId="4" applyFont="1" applyBorder="1" applyAlignment="1">
      <alignment horizontal="center"/>
    </xf>
    <xf numFmtId="0" fontId="52" fillId="0" borderId="112" xfId="4" applyFont="1" applyBorder="1" applyAlignment="1">
      <alignment horizontal="left"/>
    </xf>
    <xf numFmtId="0" fontId="52" fillId="0" borderId="68" xfId="4" applyFont="1" applyBorder="1" applyAlignment="1">
      <alignment horizontal="left"/>
    </xf>
    <xf numFmtId="188" fontId="52" fillId="0" borderId="68" xfId="4" applyNumberFormat="1" applyFont="1" applyBorder="1" applyAlignment="1">
      <alignment horizontal="center"/>
    </xf>
    <xf numFmtId="183" fontId="88" fillId="33" borderId="19" xfId="4" applyNumberFormat="1" applyFont="1" applyFill="1" applyBorder="1" applyAlignment="1">
      <alignment vertical="top"/>
    </xf>
    <xf numFmtId="168" fontId="52" fillId="0" borderId="69" xfId="4" applyNumberFormat="1" applyFont="1" applyBorder="1" applyAlignment="1">
      <alignment horizontal="center"/>
    </xf>
    <xf numFmtId="169" fontId="52" fillId="0" borderId="69" xfId="4" applyNumberFormat="1" applyFont="1" applyBorder="1" applyAlignment="1">
      <alignment horizontal="center"/>
    </xf>
    <xf numFmtId="169" fontId="52" fillId="0" borderId="67" xfId="4" applyNumberFormat="1" applyFont="1" applyBorder="1" applyAlignment="1">
      <alignment horizontal="center"/>
    </xf>
    <xf numFmtId="169" fontId="52" fillId="0" borderId="68" xfId="4" applyNumberFormat="1" applyFont="1" applyBorder="1" applyAlignment="1">
      <alignment horizontal="center"/>
    </xf>
    <xf numFmtId="44" fontId="52" fillId="0" borderId="67" xfId="4" applyNumberFormat="1" applyFont="1" applyBorder="1" applyAlignment="1">
      <alignment horizontal="center"/>
    </xf>
    <xf numFmtId="9" fontId="1" fillId="0" borderId="134" xfId="3" applyBorder="1"/>
    <xf numFmtId="44" fontId="52" fillId="0" borderId="135" xfId="4" applyNumberFormat="1" applyFont="1" applyBorder="1" applyAlignment="1">
      <alignment horizontal="center"/>
    </xf>
    <xf numFmtId="44" fontId="52" fillId="0" borderId="21" xfId="4" applyNumberFormat="1" applyFont="1" applyBorder="1" applyAlignment="1">
      <alignment horizontal="center"/>
    </xf>
    <xf numFmtId="1" fontId="1" fillId="0" borderId="0" xfId="3" applyNumberFormat="1"/>
    <xf numFmtId="181" fontId="1" fillId="0" borderId="0" xfId="3" applyNumberFormat="1"/>
    <xf numFmtId="49" fontId="2" fillId="2" borderId="0" xfId="4" applyNumberFormat="1" applyFont="1" applyFill="1" applyAlignment="1">
      <alignment vertical="top"/>
    </xf>
    <xf numFmtId="0" fontId="90" fillId="2" borderId="0" xfId="0" applyFont="1" applyFill="1"/>
    <xf numFmtId="0" fontId="91" fillId="2" borderId="0" xfId="4" applyFont="1" applyFill="1" applyAlignment="1">
      <alignment vertical="top" wrapText="1"/>
    </xf>
    <xf numFmtId="0" fontId="91" fillId="2" borderId="0" xfId="4" applyFont="1" applyFill="1" applyAlignment="1">
      <alignment horizontal="center" vertical="top"/>
    </xf>
    <xf numFmtId="0" fontId="91" fillId="2" borderId="0" xfId="4" applyFont="1" applyFill="1" applyAlignment="1">
      <alignment horizontal="right" vertical="top"/>
    </xf>
    <xf numFmtId="170" fontId="91" fillId="2" borderId="0" xfId="4" applyNumberFormat="1" applyFont="1" applyFill="1" applyAlignment="1">
      <alignment horizontal="right" vertical="top"/>
    </xf>
    <xf numFmtId="170" fontId="91" fillId="2" borderId="0" xfId="4" applyNumberFormat="1" applyFont="1" applyFill="1" applyAlignment="1">
      <alignment vertical="top"/>
    </xf>
    <xf numFmtId="1" fontId="91" fillId="2" borderId="0" xfId="4" applyNumberFormat="1" applyFont="1" applyFill="1" applyAlignment="1">
      <alignment vertical="top"/>
    </xf>
    <xf numFmtId="171" fontId="91" fillId="2" borderId="0" xfId="4" applyNumberFormat="1" applyFont="1" applyFill="1" applyAlignment="1">
      <alignment vertical="top"/>
    </xf>
    <xf numFmtId="183" fontId="91" fillId="2" borderId="0" xfId="4" applyNumberFormat="1" applyFont="1" applyFill="1" applyAlignment="1">
      <alignment vertical="top"/>
    </xf>
    <xf numFmtId="0" fontId="90" fillId="2" borderId="0" xfId="4" applyFont="1" applyFill="1"/>
    <xf numFmtId="0" fontId="39" fillId="2" borderId="1" xfId="0" applyFont="1" applyFill="1" applyBorder="1" applyAlignment="1">
      <alignment horizontal="center"/>
    </xf>
    <xf numFmtId="0" fontId="6" fillId="0" borderId="1" xfId="0" applyFont="1" applyBorder="1" applyAlignment="1">
      <alignment horizontal="center" vertical="center"/>
    </xf>
    <xf numFmtId="0" fontId="92" fillId="34" borderId="136" xfId="4" applyFont="1" applyFill="1" applyBorder="1" applyAlignment="1">
      <alignment horizontal="center" vertical="center" wrapText="1"/>
    </xf>
    <xf numFmtId="0" fontId="92" fillId="34" borderId="137" xfId="4" applyFont="1" applyFill="1" applyBorder="1" applyAlignment="1">
      <alignment horizontal="center" vertical="center" wrapText="1"/>
    </xf>
    <xf numFmtId="0" fontId="92" fillId="34" borderId="138" xfId="4" applyFont="1" applyFill="1" applyBorder="1" applyAlignment="1">
      <alignment horizontal="center" vertical="center" wrapText="1"/>
    </xf>
    <xf numFmtId="0" fontId="92" fillId="34" borderId="139" xfId="4" applyFont="1" applyFill="1" applyBorder="1" applyAlignment="1">
      <alignment horizontal="center" vertical="center" wrapText="1"/>
    </xf>
    <xf numFmtId="0" fontId="0" fillId="7" borderId="140" xfId="4" applyFont="1" applyFill="1" applyBorder="1" applyAlignment="1">
      <alignment horizontal="center" vertical="center"/>
    </xf>
    <xf numFmtId="0" fontId="0" fillId="7" borderId="28" xfId="4" applyFont="1" applyFill="1" applyBorder="1" applyAlignment="1">
      <alignment horizontal="center" vertical="center"/>
    </xf>
    <xf numFmtId="0" fontId="0" fillId="7" borderId="29" xfId="4" applyFont="1" applyFill="1" applyBorder="1" applyAlignment="1">
      <alignment horizontal="center" vertical="center" wrapText="1"/>
    </xf>
    <xf numFmtId="165" fontId="1" fillId="7" borderId="15" xfId="2" applyNumberFormat="1" applyFill="1" applyBorder="1"/>
    <xf numFmtId="0" fontId="0" fillId="7" borderId="132" xfId="4" applyFont="1" applyFill="1" applyBorder="1" applyAlignment="1">
      <alignment horizontal="center" vertical="center"/>
    </xf>
    <xf numFmtId="0" fontId="0" fillId="7" borderId="134" xfId="4" applyFont="1" applyFill="1" applyBorder="1" applyAlignment="1">
      <alignment horizontal="center" vertical="center"/>
    </xf>
    <xf numFmtId="164" fontId="0" fillId="7" borderId="135" xfId="2" applyFont="1" applyFill="1" applyBorder="1" applyAlignment="1">
      <alignment horizontal="center" vertical="center" wrapText="1"/>
    </xf>
    <xf numFmtId="189" fontId="1" fillId="7" borderId="21" xfId="2" applyNumberFormat="1" applyFill="1" applyBorder="1"/>
    <xf numFmtId="0" fontId="42" fillId="35" borderId="7" xfId="4" applyFont="1" applyFill="1" applyBorder="1" applyAlignment="1">
      <alignment horizontal="left" vertical="center" wrapText="1"/>
    </xf>
    <xf numFmtId="0" fontId="42" fillId="35" borderId="7" xfId="4" applyFont="1" applyFill="1" applyBorder="1" applyAlignment="1">
      <alignment horizontal="center" vertical="center" wrapText="1"/>
    </xf>
    <xf numFmtId="0" fontId="32" fillId="0" borderId="69" xfId="4" applyFont="1" applyBorder="1" applyAlignment="1">
      <alignment horizontal="left"/>
    </xf>
    <xf numFmtId="49" fontId="32" fillId="0" borderId="69" xfId="4" applyNumberFormat="1" applyFont="1" applyBorder="1" applyAlignment="1">
      <alignment horizontal="left"/>
    </xf>
    <xf numFmtId="0" fontId="32" fillId="0" borderId="69" xfId="4" applyFont="1" applyBorder="1" applyAlignment="1">
      <alignment horizontal="left" wrapText="1"/>
    </xf>
    <xf numFmtId="44" fontId="32" fillId="0" borderId="69" xfId="4" applyNumberFormat="1" applyFont="1" applyBorder="1" applyAlignment="1">
      <alignment horizontal="left" wrapText="1"/>
    </xf>
    <xf numFmtId="0" fontId="7" fillId="7" borderId="1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9" xfId="0" applyFont="1" applyFill="1" applyBorder="1" applyAlignment="1">
      <alignment horizontal="center" vertical="center"/>
    </xf>
    <xf numFmtId="0" fontId="16" fillId="8" borderId="33" xfId="0" applyFont="1" applyFill="1" applyBorder="1" applyAlignment="1">
      <alignment horizontal="center" vertical="center"/>
    </xf>
    <xf numFmtId="0" fontId="16" fillId="8" borderId="34" xfId="0" applyFont="1" applyFill="1" applyBorder="1" applyAlignment="1">
      <alignment horizontal="center" vertical="center"/>
    </xf>
    <xf numFmtId="0" fontId="16" fillId="8" borderId="35" xfId="0" applyFont="1" applyFill="1" applyBorder="1" applyAlignment="1">
      <alignment horizontal="center" vertical="center"/>
    </xf>
    <xf numFmtId="0" fontId="16" fillId="8" borderId="31"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32" xfId="0" applyFont="1" applyFill="1" applyBorder="1" applyAlignment="1">
      <alignment horizontal="center" vertical="center"/>
    </xf>
    <xf numFmtId="0" fontId="18" fillId="5" borderId="39" xfId="0" applyFont="1" applyFill="1" applyBorder="1" applyAlignment="1"/>
    <xf numFmtId="0" fontId="18" fillId="5" borderId="30" xfId="0" applyFont="1" applyFill="1" applyBorder="1" applyAlignment="1"/>
    <xf numFmtId="0" fontId="28" fillId="13" borderId="0" xfId="0" applyFont="1" applyFill="1" applyAlignment="1">
      <alignment horizontal="center" vertical="center" wrapText="1"/>
    </xf>
    <xf numFmtId="0" fontId="28" fillId="13" borderId="30" xfId="0" applyFont="1" applyFill="1" applyBorder="1" applyAlignment="1">
      <alignment horizontal="center" vertical="center" wrapText="1"/>
    </xf>
    <xf numFmtId="0" fontId="16" fillId="8" borderId="36" xfId="0" applyFont="1" applyFill="1" applyBorder="1" applyAlignment="1">
      <alignment horizontal="center" vertical="center"/>
    </xf>
    <xf numFmtId="0" fontId="16" fillId="8" borderId="37" xfId="0" applyFont="1" applyFill="1" applyBorder="1" applyAlignment="1">
      <alignment horizontal="center" vertical="center"/>
    </xf>
    <xf numFmtId="0" fontId="16" fillId="8" borderId="38" xfId="0" applyFont="1" applyFill="1" applyBorder="1" applyAlignment="1">
      <alignment horizontal="center" vertical="center"/>
    </xf>
    <xf numFmtId="0" fontId="27" fillId="12" borderId="57" xfId="0" applyFont="1" applyFill="1" applyBorder="1" applyAlignment="1">
      <alignment horizontal="center" vertical="center" wrapText="1"/>
    </xf>
    <xf numFmtId="0" fontId="27" fillId="12" borderId="62" xfId="0" applyFont="1" applyFill="1" applyBorder="1" applyAlignment="1">
      <alignment horizontal="center" vertical="center" wrapText="1"/>
    </xf>
    <xf numFmtId="0" fontId="28" fillId="13" borderId="61" xfId="0" applyFont="1" applyFill="1" applyBorder="1" applyAlignment="1">
      <alignment horizontal="center" vertical="center" wrapText="1"/>
    </xf>
    <xf numFmtId="0" fontId="28" fillId="13" borderId="63" xfId="0" applyFont="1" applyFill="1" applyBorder="1" applyAlignment="1">
      <alignment horizontal="center" vertical="center" wrapText="1"/>
    </xf>
    <xf numFmtId="0" fontId="33" fillId="8" borderId="70" xfId="0" applyFont="1" applyFill="1" applyBorder="1" applyAlignment="1">
      <alignment horizontal="center"/>
    </xf>
    <xf numFmtId="0" fontId="33" fillId="8" borderId="71" xfId="0" applyFont="1" applyFill="1" applyBorder="1" applyAlignment="1">
      <alignment horizontal="center"/>
    </xf>
    <xf numFmtId="0" fontId="33" fillId="8" borderId="72" xfId="0" applyFont="1" applyFill="1" applyBorder="1" applyAlignment="1">
      <alignment horizontal="center"/>
    </xf>
    <xf numFmtId="0" fontId="32" fillId="7" borderId="67" xfId="0" applyFont="1" applyFill="1" applyBorder="1" applyAlignment="1">
      <alignment horizontal="center"/>
    </xf>
    <xf numFmtId="0" fontId="32" fillId="7" borderId="68" xfId="0" applyFont="1" applyFill="1" applyBorder="1" applyAlignment="1">
      <alignment horizontal="center"/>
    </xf>
    <xf numFmtId="170" fontId="32" fillId="15" borderId="69" xfId="4" applyNumberFormat="1" applyFont="1" applyFill="1" applyBorder="1" applyAlignment="1">
      <alignment horizontal="center" vertical="center"/>
    </xf>
    <xf numFmtId="0" fontId="32" fillId="16" borderId="69" xfId="0" applyFont="1" applyFill="1" applyBorder="1" applyAlignment="1">
      <alignment horizontal="center"/>
    </xf>
    <xf numFmtId="170" fontId="32" fillId="17" borderId="69" xfId="4" applyNumberFormat="1" applyFont="1" applyFill="1" applyBorder="1" applyAlignment="1">
      <alignment horizontal="center" vertical="center"/>
    </xf>
    <xf numFmtId="0" fontId="16" fillId="8" borderId="70" xfId="0" applyFont="1" applyFill="1" applyBorder="1" applyAlignment="1">
      <alignment horizontal="center" vertical="center"/>
    </xf>
    <xf numFmtId="0" fontId="16" fillId="8" borderId="71" xfId="0" applyFont="1" applyFill="1" applyBorder="1" applyAlignment="1">
      <alignment horizontal="center" vertical="center"/>
    </xf>
    <xf numFmtId="0" fontId="16" fillId="8" borderId="72" xfId="0" applyFont="1" applyFill="1" applyBorder="1" applyAlignment="1">
      <alignment horizontal="center" vertical="center"/>
    </xf>
    <xf numFmtId="0" fontId="34" fillId="2" borderId="0" xfId="0" applyFont="1" applyFill="1" applyAlignment="1">
      <alignment horizontal="center" vertical="center"/>
    </xf>
    <xf numFmtId="0" fontId="34" fillId="2" borderId="76" xfId="0" applyFont="1" applyFill="1" applyBorder="1" applyAlignment="1">
      <alignment horizontal="center" vertical="center"/>
    </xf>
    <xf numFmtId="0" fontId="39" fillId="2" borderId="0" xfId="0" applyFont="1" applyFill="1" applyAlignment="1">
      <alignment horizontal="right" vertical="center" wrapText="1"/>
    </xf>
    <xf numFmtId="0" fontId="39" fillId="2" borderId="78" xfId="0" applyFont="1" applyFill="1" applyBorder="1" applyAlignment="1">
      <alignment horizontal="right" vertical="center" wrapText="1"/>
    </xf>
    <xf numFmtId="165" fontId="6" fillId="16" borderId="79" xfId="2" applyNumberFormat="1" applyFont="1" applyFill="1" applyBorder="1" applyAlignment="1">
      <alignment horizontal="center" vertical="center"/>
    </xf>
    <xf numFmtId="165" fontId="6" fillId="16" borderId="80" xfId="2" applyNumberFormat="1" applyFont="1" applyFill="1" applyBorder="1" applyAlignment="1">
      <alignment horizontal="center" vertical="center"/>
    </xf>
    <xf numFmtId="170" fontId="42" fillId="2" borderId="0" xfId="4" applyNumberFormat="1" applyFont="1" applyFill="1" applyAlignment="1">
      <alignment horizontal="right" vertical="center" wrapText="1"/>
    </xf>
    <xf numFmtId="10" fontId="6" fillId="16" borderId="85" xfId="3" applyNumberFormat="1" applyFont="1" applyFill="1" applyBorder="1" applyAlignment="1">
      <alignment horizontal="center" vertical="center"/>
    </xf>
    <xf numFmtId="10" fontId="6" fillId="16" borderId="0" xfId="3" applyNumberFormat="1" applyFont="1" applyFill="1" applyAlignment="1">
      <alignment horizontal="center" vertical="center"/>
    </xf>
    <xf numFmtId="0" fontId="39" fillId="2" borderId="73" xfId="0" applyFont="1" applyFill="1" applyBorder="1" applyAlignment="1">
      <alignment horizontal="right" wrapText="1"/>
    </xf>
    <xf numFmtId="10" fontId="6" fillId="18" borderId="86" xfId="3" applyNumberFormat="1" applyFont="1" applyFill="1" applyBorder="1" applyAlignment="1">
      <alignment horizontal="center" vertical="center"/>
    </xf>
    <xf numFmtId="10" fontId="6" fillId="18" borderId="29" xfId="3" applyNumberFormat="1" applyFont="1" applyFill="1" applyBorder="1" applyAlignment="1">
      <alignment horizontal="center" vertical="center"/>
    </xf>
    <xf numFmtId="0" fontId="46" fillId="2" borderId="18" xfId="0" applyFont="1" applyFill="1" applyBorder="1" applyAlignment="1">
      <alignment horizontal="center" vertical="center" wrapText="1"/>
    </xf>
    <xf numFmtId="0" fontId="49" fillId="2" borderId="59" xfId="4" applyFont="1" applyFill="1" applyBorder="1" applyAlignment="1">
      <alignment horizontal="left" vertical="top"/>
    </xf>
    <xf numFmtId="0" fontId="49" fillId="2" borderId="8" xfId="4" applyFont="1" applyFill="1" applyBorder="1" applyAlignment="1">
      <alignment horizontal="left" vertical="top"/>
    </xf>
    <xf numFmtId="0" fontId="49" fillId="2" borderId="16" xfId="4" applyFont="1" applyFill="1" applyBorder="1" applyAlignment="1">
      <alignment horizontal="left" vertical="top"/>
    </xf>
    <xf numFmtId="0" fontId="49" fillId="2" borderId="0" xfId="4" applyFont="1" applyFill="1" applyAlignment="1">
      <alignment horizontal="left" vertical="top"/>
    </xf>
    <xf numFmtId="0" fontId="42" fillId="2" borderId="27" xfId="4" applyFont="1" applyFill="1" applyBorder="1" applyAlignment="1">
      <alignment horizontal="left" vertical="top"/>
    </xf>
    <xf numFmtId="0" fontId="42" fillId="2" borderId="28" xfId="4" applyFont="1" applyFill="1" applyBorder="1" applyAlignment="1">
      <alignment horizontal="left" vertical="top"/>
    </xf>
    <xf numFmtId="0" fontId="57" fillId="0" borderId="0" xfId="0" applyFont="1" applyAlignment="1">
      <alignment horizontal="center"/>
    </xf>
    <xf numFmtId="0" fontId="5" fillId="0" borderId="0" xfId="4" applyFont="1" applyAlignment="1">
      <alignment horizontal="center"/>
    </xf>
    <xf numFmtId="0" fontId="51" fillId="7" borderId="33" xfId="4" applyFont="1" applyFill="1" applyBorder="1" applyAlignment="1">
      <alignment horizontal="center" vertical="center" wrapText="1"/>
    </xf>
    <xf numFmtId="0" fontId="51" fillId="7" borderId="34" xfId="4" applyFont="1" applyFill="1" applyBorder="1" applyAlignment="1">
      <alignment horizontal="center" vertical="center" wrapText="1"/>
    </xf>
    <xf numFmtId="0" fontId="51" fillId="7" borderId="93" xfId="4" applyFont="1" applyFill="1" applyBorder="1" applyAlignment="1">
      <alignment horizontal="center" vertical="center" wrapText="1"/>
    </xf>
    <xf numFmtId="0" fontId="59" fillId="6" borderId="9" xfId="0" applyFont="1" applyFill="1" applyBorder="1" applyAlignment="1">
      <alignment horizontal="center" vertical="center" wrapText="1"/>
    </xf>
    <xf numFmtId="0" fontId="59" fillId="6" borderId="28" xfId="0" applyFont="1" applyFill="1" applyBorder="1" applyAlignment="1">
      <alignment horizontal="center" vertical="center" wrapText="1"/>
    </xf>
    <xf numFmtId="0" fontId="51" fillId="7" borderId="97" xfId="4" applyFont="1" applyFill="1" applyBorder="1" applyAlignment="1">
      <alignment horizontal="center" vertical="center" wrapText="1"/>
    </xf>
    <xf numFmtId="0" fontId="51" fillId="7" borderId="98" xfId="4" applyFont="1" applyFill="1" applyBorder="1" applyAlignment="1">
      <alignment horizontal="center" vertical="center" wrapText="1"/>
    </xf>
    <xf numFmtId="0" fontId="51" fillId="7" borderId="99" xfId="4" applyFont="1" applyFill="1" applyBorder="1" applyAlignment="1">
      <alignment horizontal="center" vertical="center" wrapText="1"/>
    </xf>
    <xf numFmtId="0" fontId="39" fillId="23" borderId="101" xfId="4" applyFont="1" applyFill="1" applyBorder="1" applyAlignment="1">
      <alignment horizontal="center" vertical="center" wrapText="1"/>
    </xf>
    <xf numFmtId="0" fontId="39" fillId="23" borderId="102" xfId="4" applyFont="1" applyFill="1" applyBorder="1" applyAlignment="1">
      <alignment horizontal="center" vertical="center" wrapText="1"/>
    </xf>
    <xf numFmtId="0" fontId="39" fillId="23" borderId="103" xfId="4" applyFont="1" applyFill="1" applyBorder="1" applyAlignment="1">
      <alignment horizontal="center" vertical="center" wrapText="1"/>
    </xf>
    <xf numFmtId="0" fontId="39" fillId="23" borderId="104" xfId="4" applyFont="1" applyFill="1" applyBorder="1" applyAlignment="1">
      <alignment horizontal="center" vertical="center" wrapText="1"/>
    </xf>
    <xf numFmtId="182" fontId="72" fillId="5" borderId="0" xfId="1" applyNumberFormat="1" applyFont="1" applyFill="1" applyAlignment="1">
      <alignment horizontal="center" wrapText="1"/>
    </xf>
    <xf numFmtId="182" fontId="72" fillId="5" borderId="0" xfId="1" applyNumberFormat="1" applyFont="1" applyFill="1" applyAlignment="1">
      <alignment horizontal="center" vertical="top" wrapText="1"/>
    </xf>
    <xf numFmtId="183" fontId="81" fillId="29" borderId="51" xfId="4" applyNumberFormat="1" applyFont="1" applyFill="1" applyBorder="1" applyAlignment="1">
      <alignment horizontal="center" vertical="top" wrapText="1"/>
    </xf>
    <xf numFmtId="170" fontId="7" fillId="0" borderId="0" xfId="0" applyNumberFormat="1" applyFont="1" applyAlignment="1">
      <alignment horizontal="center" vertical="top"/>
    </xf>
    <xf numFmtId="0" fontId="51" fillId="7" borderId="113" xfId="4" applyFont="1" applyFill="1" applyBorder="1" applyAlignment="1">
      <alignment horizontal="center" vertical="center" wrapText="1"/>
    </xf>
    <xf numFmtId="0" fontId="51" fillId="7" borderId="116" xfId="4" applyFont="1" applyFill="1" applyBorder="1" applyAlignment="1">
      <alignment horizontal="center" vertical="center" wrapText="1"/>
    </xf>
    <xf numFmtId="0" fontId="42" fillId="23" borderId="50" xfId="4" applyFont="1" applyFill="1" applyBorder="1" applyAlignment="1">
      <alignment horizontal="center" vertical="center" wrapText="1"/>
    </xf>
  </cellXfs>
  <cellStyles count="5">
    <cellStyle name="Calculation 2 2 2 21 2 5" xfId="4" xr:uid="{DFFDFDB2-FC0A-40B8-B5D7-EABA96165415}"/>
    <cellStyle name="Comma" xfId="1" builtinId="3"/>
    <cellStyle name="Currency" xfId="2" builtinId="4"/>
    <cellStyle name="Normal" xfId="0" builtinId="0"/>
    <cellStyle name="Percent" xfId="3" builtinId="5"/>
  </cellStyles>
  <dxfs count="67">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ill>
        <patternFill>
          <bgColor theme="0" tint="-0.14996795556505021"/>
        </patternFill>
      </fill>
    </dxf>
    <dxf>
      <fill>
        <patternFill>
          <bgColor theme="0" tint="-0.14996795556505021"/>
        </patternFill>
      </fill>
    </dxf>
    <dxf>
      <font>
        <b val="0"/>
        <i val="0"/>
        <strike val="0"/>
        <outline val="0"/>
        <shadow val="0"/>
        <u val="none"/>
        <sz val="11"/>
        <color rgb="FF000000"/>
        <name val="Calibri"/>
        <family val="2"/>
        <charset val="1"/>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b/>
        <i/>
        <color theme="9" tint="-0.24994659260841701"/>
      </font>
    </dxf>
    <dxf>
      <font>
        <b/>
        <i/>
        <color rgb="FFC00000"/>
      </font>
    </dxf>
    <dxf>
      <font>
        <b/>
        <i val="0"/>
        <color theme="9"/>
      </font>
    </dxf>
    <dxf>
      <font>
        <color rgb="FFFF0000"/>
      </font>
    </dxf>
    <dxf>
      <font>
        <color rgb="FFFF0000"/>
      </font>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99778</xdr:colOff>
      <xdr:row>6</xdr:row>
      <xdr:rowOff>60797</xdr:rowOff>
    </xdr:from>
    <xdr:to>
      <xdr:col>5</xdr:col>
      <xdr:colOff>398564</xdr:colOff>
      <xdr:row>7</xdr:row>
      <xdr:rowOff>146226</xdr:rowOff>
    </xdr:to>
    <xdr:grpSp>
      <xdr:nvGrpSpPr>
        <xdr:cNvPr id="2" name="Group 1">
          <a:extLst>
            <a:ext uri="{FF2B5EF4-FFF2-40B4-BE49-F238E27FC236}">
              <a16:creationId xmlns:a16="http://schemas.microsoft.com/office/drawing/2014/main" id="{EA472A8B-719E-4BBF-90DE-123E2196E72A}"/>
            </a:ext>
          </a:extLst>
        </xdr:cNvPr>
        <xdr:cNvGrpSpPr/>
      </xdr:nvGrpSpPr>
      <xdr:grpSpPr>
        <a:xfrm>
          <a:off x="5171841" y="1227610"/>
          <a:ext cx="298786" cy="335460"/>
          <a:chOff x="2754313" y="1320801"/>
          <a:chExt cx="492125" cy="404813"/>
        </a:xfrm>
        <a:solidFill>
          <a:schemeClr val="bg1"/>
        </a:solidFill>
      </xdr:grpSpPr>
      <xdr:sp macro="" textlink="">
        <xdr:nvSpPr>
          <xdr:cNvPr id="3" name="Freeform 98">
            <a:extLst>
              <a:ext uri="{FF2B5EF4-FFF2-40B4-BE49-F238E27FC236}">
                <a16:creationId xmlns:a16="http://schemas.microsoft.com/office/drawing/2014/main" id="{BF377732-37AD-9084-94E0-C0576C3FA8EE}"/>
              </a:ext>
            </a:extLst>
          </xdr:cNvPr>
          <xdr:cNvSpPr>
            <a:spLocks/>
          </xdr:cNvSpPr>
        </xdr:nvSpPr>
        <xdr:spPr bwMode="auto">
          <a:xfrm>
            <a:off x="2895600" y="1525588"/>
            <a:ext cx="192088" cy="20638"/>
          </a:xfrm>
          <a:custGeom>
            <a:avLst/>
            <a:gdLst>
              <a:gd name="T0" fmla="*/ 89 w 94"/>
              <a:gd name="T1" fmla="*/ 0 h 10"/>
              <a:gd name="T2" fmla="*/ 5 w 94"/>
              <a:gd name="T3" fmla="*/ 0 h 10"/>
              <a:gd name="T4" fmla="*/ 0 w 94"/>
              <a:gd name="T5" fmla="*/ 5 h 10"/>
              <a:gd name="T6" fmla="*/ 5 w 94"/>
              <a:gd name="T7" fmla="*/ 10 h 10"/>
              <a:gd name="T8" fmla="*/ 89 w 94"/>
              <a:gd name="T9" fmla="*/ 10 h 10"/>
              <a:gd name="T10" fmla="*/ 94 w 94"/>
              <a:gd name="T11" fmla="*/ 5 h 10"/>
              <a:gd name="T12" fmla="*/ 89 w 94"/>
              <a:gd name="T13" fmla="*/ 0 h 10"/>
            </a:gdLst>
            <a:ahLst/>
            <a:cxnLst>
              <a:cxn ang="0">
                <a:pos x="T0" y="T1"/>
              </a:cxn>
              <a:cxn ang="0">
                <a:pos x="T2" y="T3"/>
              </a:cxn>
              <a:cxn ang="0">
                <a:pos x="T4" y="T5"/>
              </a:cxn>
              <a:cxn ang="0">
                <a:pos x="T6" y="T7"/>
              </a:cxn>
              <a:cxn ang="0">
                <a:pos x="T8" y="T9"/>
              </a:cxn>
              <a:cxn ang="0">
                <a:pos x="T10" y="T11"/>
              </a:cxn>
              <a:cxn ang="0">
                <a:pos x="T12" y="T13"/>
              </a:cxn>
            </a:cxnLst>
            <a:rect l="0" t="0" r="r" b="b"/>
            <a:pathLst>
              <a:path w="94" h="10">
                <a:moveTo>
                  <a:pt x="89" y="0"/>
                </a:moveTo>
                <a:cubicBezTo>
                  <a:pt x="5" y="0"/>
                  <a:pt x="5" y="0"/>
                  <a:pt x="5" y="0"/>
                </a:cubicBezTo>
                <a:cubicBezTo>
                  <a:pt x="2" y="0"/>
                  <a:pt x="0" y="2"/>
                  <a:pt x="0" y="5"/>
                </a:cubicBezTo>
                <a:cubicBezTo>
                  <a:pt x="0" y="8"/>
                  <a:pt x="2" y="10"/>
                  <a:pt x="5" y="10"/>
                </a:cubicBezTo>
                <a:cubicBezTo>
                  <a:pt x="89" y="10"/>
                  <a:pt x="89" y="10"/>
                  <a:pt x="89" y="10"/>
                </a:cubicBezTo>
                <a:cubicBezTo>
                  <a:pt x="92" y="10"/>
                  <a:pt x="94" y="8"/>
                  <a:pt x="94" y="5"/>
                </a:cubicBezTo>
                <a:cubicBezTo>
                  <a:pt x="94" y="2"/>
                  <a:pt x="92" y="0"/>
                  <a:pt x="89" y="0"/>
                </a:cubicBez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4" name="Freeform 99">
            <a:extLst>
              <a:ext uri="{FF2B5EF4-FFF2-40B4-BE49-F238E27FC236}">
                <a16:creationId xmlns:a16="http://schemas.microsoft.com/office/drawing/2014/main" id="{20D732BD-2002-DB34-47B7-1FD3D91CCF7B}"/>
              </a:ext>
            </a:extLst>
          </xdr:cNvPr>
          <xdr:cNvSpPr>
            <a:spLocks noEditPoints="1"/>
          </xdr:cNvSpPr>
        </xdr:nvSpPr>
        <xdr:spPr bwMode="auto">
          <a:xfrm>
            <a:off x="2754313" y="1320801"/>
            <a:ext cx="492125" cy="404813"/>
          </a:xfrm>
          <a:custGeom>
            <a:avLst/>
            <a:gdLst>
              <a:gd name="T0" fmla="*/ 239 w 241"/>
              <a:gd name="T1" fmla="*/ 64 h 198"/>
              <a:gd name="T2" fmla="*/ 236 w 241"/>
              <a:gd name="T3" fmla="*/ 62 h 198"/>
              <a:gd name="T4" fmla="*/ 229 w 241"/>
              <a:gd name="T5" fmla="*/ 62 h 198"/>
              <a:gd name="T6" fmla="*/ 217 w 241"/>
              <a:gd name="T7" fmla="*/ 4 h 198"/>
              <a:gd name="T8" fmla="*/ 215 w 241"/>
              <a:gd name="T9" fmla="*/ 1 h 198"/>
              <a:gd name="T10" fmla="*/ 212 w 241"/>
              <a:gd name="T11" fmla="*/ 0 h 198"/>
              <a:gd name="T12" fmla="*/ 76 w 241"/>
              <a:gd name="T13" fmla="*/ 28 h 198"/>
              <a:gd name="T14" fmla="*/ 61 w 241"/>
              <a:gd name="T15" fmla="*/ 11 h 198"/>
              <a:gd name="T16" fmla="*/ 31 w 241"/>
              <a:gd name="T17" fmla="*/ 11 h 198"/>
              <a:gd name="T18" fmla="*/ 18 w 241"/>
              <a:gd name="T19" fmla="*/ 24 h 198"/>
              <a:gd name="T20" fmla="*/ 18 w 241"/>
              <a:gd name="T21" fmla="*/ 62 h 198"/>
              <a:gd name="T22" fmla="*/ 5 w 241"/>
              <a:gd name="T23" fmla="*/ 62 h 198"/>
              <a:gd name="T24" fmla="*/ 2 w 241"/>
              <a:gd name="T25" fmla="*/ 64 h 198"/>
              <a:gd name="T26" fmla="*/ 0 w 241"/>
              <a:gd name="T27" fmla="*/ 68 h 198"/>
              <a:gd name="T28" fmla="*/ 18 w 241"/>
              <a:gd name="T29" fmla="*/ 194 h 198"/>
              <a:gd name="T30" fmla="*/ 23 w 241"/>
              <a:gd name="T31" fmla="*/ 198 h 198"/>
              <a:gd name="T32" fmla="*/ 218 w 241"/>
              <a:gd name="T33" fmla="*/ 198 h 198"/>
              <a:gd name="T34" fmla="*/ 223 w 241"/>
              <a:gd name="T35" fmla="*/ 194 h 198"/>
              <a:gd name="T36" fmla="*/ 240 w 241"/>
              <a:gd name="T37" fmla="*/ 68 h 198"/>
              <a:gd name="T38" fmla="*/ 239 w 241"/>
              <a:gd name="T39" fmla="*/ 64 h 198"/>
              <a:gd name="T40" fmla="*/ 209 w 241"/>
              <a:gd name="T41" fmla="*/ 11 h 198"/>
              <a:gd name="T42" fmla="*/ 219 w 241"/>
              <a:gd name="T43" fmla="*/ 62 h 198"/>
              <a:gd name="T44" fmla="*/ 49 w 241"/>
              <a:gd name="T45" fmla="*/ 62 h 198"/>
              <a:gd name="T46" fmla="*/ 45 w 241"/>
              <a:gd name="T47" fmla="*/ 44 h 198"/>
              <a:gd name="T48" fmla="*/ 209 w 241"/>
              <a:gd name="T49" fmla="*/ 11 h 198"/>
              <a:gd name="T50" fmla="*/ 28 w 241"/>
              <a:gd name="T51" fmla="*/ 24 h 198"/>
              <a:gd name="T52" fmla="*/ 31 w 241"/>
              <a:gd name="T53" fmla="*/ 20 h 198"/>
              <a:gd name="T54" fmla="*/ 60 w 241"/>
              <a:gd name="T55" fmla="*/ 20 h 198"/>
              <a:gd name="T56" fmla="*/ 66 w 241"/>
              <a:gd name="T57" fmla="*/ 30 h 198"/>
              <a:gd name="T58" fmla="*/ 39 w 241"/>
              <a:gd name="T59" fmla="*/ 35 h 198"/>
              <a:gd name="T60" fmla="*/ 35 w 241"/>
              <a:gd name="T61" fmla="*/ 38 h 198"/>
              <a:gd name="T62" fmla="*/ 35 w 241"/>
              <a:gd name="T63" fmla="*/ 41 h 198"/>
              <a:gd name="T64" fmla="*/ 39 w 241"/>
              <a:gd name="T65" fmla="*/ 62 h 198"/>
              <a:gd name="T66" fmla="*/ 28 w 241"/>
              <a:gd name="T67" fmla="*/ 62 h 198"/>
              <a:gd name="T68" fmla="*/ 28 w 241"/>
              <a:gd name="T69" fmla="*/ 24 h 198"/>
              <a:gd name="T70" fmla="*/ 214 w 241"/>
              <a:gd name="T71" fmla="*/ 188 h 198"/>
              <a:gd name="T72" fmla="*/ 27 w 241"/>
              <a:gd name="T73" fmla="*/ 188 h 198"/>
              <a:gd name="T74" fmla="*/ 11 w 241"/>
              <a:gd name="T75" fmla="*/ 72 h 198"/>
              <a:gd name="T76" fmla="*/ 230 w 241"/>
              <a:gd name="T77" fmla="*/ 72 h 198"/>
              <a:gd name="T78" fmla="*/ 214 w 241"/>
              <a:gd name="T79" fmla="*/ 18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241" h="198">
                <a:moveTo>
                  <a:pt x="239" y="64"/>
                </a:moveTo>
                <a:cubicBezTo>
                  <a:pt x="238" y="63"/>
                  <a:pt x="237" y="62"/>
                  <a:pt x="236" y="62"/>
                </a:cubicBezTo>
                <a:cubicBezTo>
                  <a:pt x="229" y="62"/>
                  <a:pt x="229" y="62"/>
                  <a:pt x="229" y="62"/>
                </a:cubicBezTo>
                <a:cubicBezTo>
                  <a:pt x="217" y="4"/>
                  <a:pt x="217" y="4"/>
                  <a:pt x="217" y="4"/>
                </a:cubicBezTo>
                <a:cubicBezTo>
                  <a:pt x="217" y="3"/>
                  <a:pt x="216" y="2"/>
                  <a:pt x="215" y="1"/>
                </a:cubicBezTo>
                <a:cubicBezTo>
                  <a:pt x="214" y="0"/>
                  <a:pt x="213" y="0"/>
                  <a:pt x="212" y="0"/>
                </a:cubicBezTo>
                <a:cubicBezTo>
                  <a:pt x="76" y="28"/>
                  <a:pt x="76" y="28"/>
                  <a:pt x="76" y="28"/>
                </a:cubicBezTo>
                <a:cubicBezTo>
                  <a:pt x="68" y="11"/>
                  <a:pt x="63" y="11"/>
                  <a:pt x="61" y="11"/>
                </a:cubicBezTo>
                <a:cubicBezTo>
                  <a:pt x="31" y="11"/>
                  <a:pt x="31" y="11"/>
                  <a:pt x="31" y="11"/>
                </a:cubicBezTo>
                <a:cubicBezTo>
                  <a:pt x="24" y="11"/>
                  <a:pt x="18" y="16"/>
                  <a:pt x="18" y="24"/>
                </a:cubicBezTo>
                <a:cubicBezTo>
                  <a:pt x="18" y="62"/>
                  <a:pt x="18" y="62"/>
                  <a:pt x="18" y="62"/>
                </a:cubicBezTo>
                <a:cubicBezTo>
                  <a:pt x="5" y="62"/>
                  <a:pt x="5" y="62"/>
                  <a:pt x="5" y="62"/>
                </a:cubicBezTo>
                <a:cubicBezTo>
                  <a:pt x="4" y="62"/>
                  <a:pt x="2" y="63"/>
                  <a:pt x="2" y="64"/>
                </a:cubicBezTo>
                <a:cubicBezTo>
                  <a:pt x="1" y="65"/>
                  <a:pt x="0" y="66"/>
                  <a:pt x="0" y="68"/>
                </a:cubicBezTo>
                <a:cubicBezTo>
                  <a:pt x="18" y="194"/>
                  <a:pt x="18" y="194"/>
                  <a:pt x="18" y="194"/>
                </a:cubicBezTo>
                <a:cubicBezTo>
                  <a:pt x="18" y="196"/>
                  <a:pt x="20" y="198"/>
                  <a:pt x="23" y="198"/>
                </a:cubicBezTo>
                <a:cubicBezTo>
                  <a:pt x="218" y="198"/>
                  <a:pt x="218" y="198"/>
                  <a:pt x="218" y="198"/>
                </a:cubicBezTo>
                <a:cubicBezTo>
                  <a:pt x="220" y="198"/>
                  <a:pt x="222" y="196"/>
                  <a:pt x="223" y="194"/>
                </a:cubicBezTo>
                <a:cubicBezTo>
                  <a:pt x="240" y="68"/>
                  <a:pt x="240" y="68"/>
                  <a:pt x="240" y="68"/>
                </a:cubicBezTo>
                <a:cubicBezTo>
                  <a:pt x="241" y="66"/>
                  <a:pt x="240" y="65"/>
                  <a:pt x="239" y="64"/>
                </a:cubicBezTo>
                <a:close/>
                <a:moveTo>
                  <a:pt x="209" y="11"/>
                </a:moveTo>
                <a:cubicBezTo>
                  <a:pt x="219" y="62"/>
                  <a:pt x="219" y="62"/>
                  <a:pt x="219" y="62"/>
                </a:cubicBezTo>
                <a:cubicBezTo>
                  <a:pt x="49" y="62"/>
                  <a:pt x="49" y="62"/>
                  <a:pt x="49" y="62"/>
                </a:cubicBezTo>
                <a:cubicBezTo>
                  <a:pt x="45" y="44"/>
                  <a:pt x="45" y="44"/>
                  <a:pt x="45" y="44"/>
                </a:cubicBezTo>
                <a:lnTo>
                  <a:pt x="209" y="11"/>
                </a:lnTo>
                <a:close/>
                <a:moveTo>
                  <a:pt x="28" y="24"/>
                </a:moveTo>
                <a:cubicBezTo>
                  <a:pt x="28" y="22"/>
                  <a:pt x="29" y="20"/>
                  <a:pt x="31" y="20"/>
                </a:cubicBezTo>
                <a:cubicBezTo>
                  <a:pt x="60" y="20"/>
                  <a:pt x="60" y="20"/>
                  <a:pt x="60" y="20"/>
                </a:cubicBezTo>
                <a:cubicBezTo>
                  <a:pt x="61" y="22"/>
                  <a:pt x="64" y="25"/>
                  <a:pt x="66" y="30"/>
                </a:cubicBezTo>
                <a:cubicBezTo>
                  <a:pt x="39" y="35"/>
                  <a:pt x="39" y="35"/>
                  <a:pt x="39" y="35"/>
                </a:cubicBezTo>
                <a:cubicBezTo>
                  <a:pt x="37" y="36"/>
                  <a:pt x="36" y="36"/>
                  <a:pt x="35" y="38"/>
                </a:cubicBezTo>
                <a:cubicBezTo>
                  <a:pt x="35" y="39"/>
                  <a:pt x="35" y="40"/>
                  <a:pt x="35" y="41"/>
                </a:cubicBezTo>
                <a:cubicBezTo>
                  <a:pt x="39" y="62"/>
                  <a:pt x="39" y="62"/>
                  <a:pt x="39" y="62"/>
                </a:cubicBezTo>
                <a:cubicBezTo>
                  <a:pt x="28" y="62"/>
                  <a:pt x="28" y="62"/>
                  <a:pt x="28" y="62"/>
                </a:cubicBezTo>
                <a:lnTo>
                  <a:pt x="28" y="24"/>
                </a:lnTo>
                <a:close/>
                <a:moveTo>
                  <a:pt x="214" y="188"/>
                </a:moveTo>
                <a:cubicBezTo>
                  <a:pt x="27" y="188"/>
                  <a:pt x="27" y="188"/>
                  <a:pt x="27" y="188"/>
                </a:cubicBezTo>
                <a:cubicBezTo>
                  <a:pt x="11" y="72"/>
                  <a:pt x="11" y="72"/>
                  <a:pt x="11" y="72"/>
                </a:cubicBezTo>
                <a:cubicBezTo>
                  <a:pt x="230" y="72"/>
                  <a:pt x="230" y="72"/>
                  <a:pt x="230" y="72"/>
                </a:cubicBezTo>
                <a:lnTo>
                  <a:pt x="214" y="188"/>
                </a:ln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grpSp>
    <xdr:clientData/>
  </xdr:twoCellAnchor>
  <xdr:twoCellAnchor>
    <xdr:from>
      <xdr:col>1</xdr:col>
      <xdr:colOff>2094151</xdr:colOff>
      <xdr:row>6</xdr:row>
      <xdr:rowOff>74308</xdr:rowOff>
    </xdr:from>
    <xdr:to>
      <xdr:col>2</xdr:col>
      <xdr:colOff>216171</xdr:colOff>
      <xdr:row>7</xdr:row>
      <xdr:rowOff>141285</xdr:rowOff>
    </xdr:to>
    <xdr:grpSp>
      <xdr:nvGrpSpPr>
        <xdr:cNvPr id="5" name="Group 33">
          <a:extLst>
            <a:ext uri="{FF2B5EF4-FFF2-40B4-BE49-F238E27FC236}">
              <a16:creationId xmlns:a16="http://schemas.microsoft.com/office/drawing/2014/main" id="{CC0E9773-B1BB-4F1F-9626-5EAB166A168C}"/>
            </a:ext>
          </a:extLst>
        </xdr:cNvPr>
        <xdr:cNvGrpSpPr/>
      </xdr:nvGrpSpPr>
      <xdr:grpSpPr>
        <a:xfrm>
          <a:off x="2237026" y="1241121"/>
          <a:ext cx="217520" cy="317008"/>
          <a:chOff x="1311275" y="6561138"/>
          <a:chExt cx="539750" cy="568325"/>
        </a:xfrm>
        <a:solidFill>
          <a:schemeClr val="bg1"/>
        </a:solidFill>
      </xdr:grpSpPr>
      <xdr:sp macro="" textlink="">
        <xdr:nvSpPr>
          <xdr:cNvPr id="6" name="Freeform 58">
            <a:extLst>
              <a:ext uri="{FF2B5EF4-FFF2-40B4-BE49-F238E27FC236}">
                <a16:creationId xmlns:a16="http://schemas.microsoft.com/office/drawing/2014/main" id="{2586B396-67F1-FD4C-2CC2-D756E3E4B8A1}"/>
              </a:ext>
            </a:extLst>
          </xdr:cNvPr>
          <xdr:cNvSpPr>
            <a:spLocks/>
          </xdr:cNvSpPr>
        </xdr:nvSpPr>
        <xdr:spPr bwMode="auto">
          <a:xfrm>
            <a:off x="1524000" y="7043738"/>
            <a:ext cx="327025" cy="23813"/>
          </a:xfrm>
          <a:custGeom>
            <a:avLst/>
            <a:gdLst>
              <a:gd name="T0" fmla="*/ 128 w 133"/>
              <a:gd name="T1" fmla="*/ 0 h 10"/>
              <a:gd name="T2" fmla="*/ 5 w 133"/>
              <a:gd name="T3" fmla="*/ 0 h 10"/>
              <a:gd name="T4" fmla="*/ 0 w 133"/>
              <a:gd name="T5" fmla="*/ 5 h 10"/>
              <a:gd name="T6" fmla="*/ 5 w 133"/>
              <a:gd name="T7" fmla="*/ 10 h 10"/>
              <a:gd name="T8" fmla="*/ 128 w 133"/>
              <a:gd name="T9" fmla="*/ 10 h 10"/>
              <a:gd name="T10" fmla="*/ 133 w 133"/>
              <a:gd name="T11" fmla="*/ 5 h 10"/>
              <a:gd name="T12" fmla="*/ 128 w 133"/>
              <a:gd name="T13" fmla="*/ 0 h 10"/>
            </a:gdLst>
            <a:ahLst/>
            <a:cxnLst>
              <a:cxn ang="0">
                <a:pos x="T0" y="T1"/>
              </a:cxn>
              <a:cxn ang="0">
                <a:pos x="T2" y="T3"/>
              </a:cxn>
              <a:cxn ang="0">
                <a:pos x="T4" y="T5"/>
              </a:cxn>
              <a:cxn ang="0">
                <a:pos x="T6" y="T7"/>
              </a:cxn>
              <a:cxn ang="0">
                <a:pos x="T8" y="T9"/>
              </a:cxn>
              <a:cxn ang="0">
                <a:pos x="T10" y="T11"/>
              </a:cxn>
              <a:cxn ang="0">
                <a:pos x="T12" y="T13"/>
              </a:cxn>
            </a:cxnLst>
            <a:rect l="0" t="0" r="r" b="b"/>
            <a:pathLst>
              <a:path w="133" h="10">
                <a:moveTo>
                  <a:pt x="128" y="0"/>
                </a:moveTo>
                <a:cubicBezTo>
                  <a:pt x="5" y="0"/>
                  <a:pt x="5" y="0"/>
                  <a:pt x="5" y="0"/>
                </a:cubicBezTo>
                <a:cubicBezTo>
                  <a:pt x="3" y="0"/>
                  <a:pt x="0" y="2"/>
                  <a:pt x="0" y="5"/>
                </a:cubicBezTo>
                <a:cubicBezTo>
                  <a:pt x="0" y="8"/>
                  <a:pt x="3" y="10"/>
                  <a:pt x="5" y="10"/>
                </a:cubicBezTo>
                <a:cubicBezTo>
                  <a:pt x="128" y="10"/>
                  <a:pt x="128" y="10"/>
                  <a:pt x="128" y="10"/>
                </a:cubicBezTo>
                <a:cubicBezTo>
                  <a:pt x="131" y="10"/>
                  <a:pt x="133" y="8"/>
                  <a:pt x="133" y="5"/>
                </a:cubicBezTo>
                <a:cubicBezTo>
                  <a:pt x="133" y="2"/>
                  <a:pt x="131" y="0"/>
                  <a:pt x="128" y="0"/>
                </a:cubicBez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7" name="Freeform 59">
            <a:extLst>
              <a:ext uri="{FF2B5EF4-FFF2-40B4-BE49-F238E27FC236}">
                <a16:creationId xmlns:a16="http://schemas.microsoft.com/office/drawing/2014/main" id="{DE525D86-F9CB-0D9A-3A40-7830B68A00EB}"/>
              </a:ext>
            </a:extLst>
          </xdr:cNvPr>
          <xdr:cNvSpPr>
            <a:spLocks/>
          </xdr:cNvSpPr>
        </xdr:nvSpPr>
        <xdr:spPr bwMode="auto">
          <a:xfrm>
            <a:off x="1524000" y="6840538"/>
            <a:ext cx="327025" cy="22225"/>
          </a:xfrm>
          <a:custGeom>
            <a:avLst/>
            <a:gdLst>
              <a:gd name="T0" fmla="*/ 128 w 133"/>
              <a:gd name="T1" fmla="*/ 0 h 9"/>
              <a:gd name="T2" fmla="*/ 5 w 133"/>
              <a:gd name="T3" fmla="*/ 0 h 9"/>
              <a:gd name="T4" fmla="*/ 0 w 133"/>
              <a:gd name="T5" fmla="*/ 5 h 9"/>
              <a:gd name="T6" fmla="*/ 5 w 133"/>
              <a:gd name="T7" fmla="*/ 9 h 9"/>
              <a:gd name="T8" fmla="*/ 128 w 133"/>
              <a:gd name="T9" fmla="*/ 9 h 9"/>
              <a:gd name="T10" fmla="*/ 133 w 133"/>
              <a:gd name="T11" fmla="*/ 5 h 9"/>
              <a:gd name="T12" fmla="*/ 128 w 133"/>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133" h="9">
                <a:moveTo>
                  <a:pt x="128" y="0"/>
                </a:moveTo>
                <a:cubicBezTo>
                  <a:pt x="5" y="0"/>
                  <a:pt x="5" y="0"/>
                  <a:pt x="5" y="0"/>
                </a:cubicBezTo>
                <a:cubicBezTo>
                  <a:pt x="3" y="0"/>
                  <a:pt x="0" y="2"/>
                  <a:pt x="0" y="5"/>
                </a:cubicBezTo>
                <a:cubicBezTo>
                  <a:pt x="0" y="7"/>
                  <a:pt x="3" y="9"/>
                  <a:pt x="5" y="9"/>
                </a:cubicBezTo>
                <a:cubicBezTo>
                  <a:pt x="128" y="9"/>
                  <a:pt x="128" y="9"/>
                  <a:pt x="128" y="9"/>
                </a:cubicBezTo>
                <a:cubicBezTo>
                  <a:pt x="131" y="9"/>
                  <a:pt x="133" y="7"/>
                  <a:pt x="133" y="5"/>
                </a:cubicBezTo>
                <a:cubicBezTo>
                  <a:pt x="133" y="2"/>
                  <a:pt x="131" y="0"/>
                  <a:pt x="128" y="0"/>
                </a:cubicBez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8" name="Freeform 60">
            <a:extLst>
              <a:ext uri="{FF2B5EF4-FFF2-40B4-BE49-F238E27FC236}">
                <a16:creationId xmlns:a16="http://schemas.microsoft.com/office/drawing/2014/main" id="{89CBCDF2-4BE3-7A81-C5AE-367B3A0DACEA}"/>
              </a:ext>
            </a:extLst>
          </xdr:cNvPr>
          <xdr:cNvSpPr>
            <a:spLocks/>
          </xdr:cNvSpPr>
        </xdr:nvSpPr>
        <xdr:spPr bwMode="auto">
          <a:xfrm>
            <a:off x="1524000" y="6638925"/>
            <a:ext cx="327025" cy="22225"/>
          </a:xfrm>
          <a:custGeom>
            <a:avLst/>
            <a:gdLst>
              <a:gd name="T0" fmla="*/ 5 w 133"/>
              <a:gd name="T1" fmla="*/ 9 h 9"/>
              <a:gd name="T2" fmla="*/ 128 w 133"/>
              <a:gd name="T3" fmla="*/ 9 h 9"/>
              <a:gd name="T4" fmla="*/ 133 w 133"/>
              <a:gd name="T5" fmla="*/ 5 h 9"/>
              <a:gd name="T6" fmla="*/ 128 w 133"/>
              <a:gd name="T7" fmla="*/ 0 h 9"/>
              <a:gd name="T8" fmla="*/ 5 w 133"/>
              <a:gd name="T9" fmla="*/ 0 h 9"/>
              <a:gd name="T10" fmla="*/ 0 w 133"/>
              <a:gd name="T11" fmla="*/ 5 h 9"/>
              <a:gd name="T12" fmla="*/ 5 w 133"/>
              <a:gd name="T13" fmla="*/ 9 h 9"/>
            </a:gdLst>
            <a:ahLst/>
            <a:cxnLst>
              <a:cxn ang="0">
                <a:pos x="T0" y="T1"/>
              </a:cxn>
              <a:cxn ang="0">
                <a:pos x="T2" y="T3"/>
              </a:cxn>
              <a:cxn ang="0">
                <a:pos x="T4" y="T5"/>
              </a:cxn>
              <a:cxn ang="0">
                <a:pos x="T6" y="T7"/>
              </a:cxn>
              <a:cxn ang="0">
                <a:pos x="T8" y="T9"/>
              </a:cxn>
              <a:cxn ang="0">
                <a:pos x="T10" y="T11"/>
              </a:cxn>
              <a:cxn ang="0">
                <a:pos x="T12" y="T13"/>
              </a:cxn>
            </a:cxnLst>
            <a:rect l="0" t="0" r="r" b="b"/>
            <a:pathLst>
              <a:path w="133" h="9">
                <a:moveTo>
                  <a:pt x="5" y="9"/>
                </a:moveTo>
                <a:cubicBezTo>
                  <a:pt x="128" y="9"/>
                  <a:pt x="128" y="9"/>
                  <a:pt x="128" y="9"/>
                </a:cubicBezTo>
                <a:cubicBezTo>
                  <a:pt x="131" y="9"/>
                  <a:pt x="133" y="7"/>
                  <a:pt x="133" y="5"/>
                </a:cubicBezTo>
                <a:cubicBezTo>
                  <a:pt x="133" y="2"/>
                  <a:pt x="131" y="0"/>
                  <a:pt x="128" y="0"/>
                </a:cubicBezTo>
                <a:cubicBezTo>
                  <a:pt x="5" y="0"/>
                  <a:pt x="5" y="0"/>
                  <a:pt x="5" y="0"/>
                </a:cubicBezTo>
                <a:cubicBezTo>
                  <a:pt x="3" y="0"/>
                  <a:pt x="0" y="2"/>
                  <a:pt x="0" y="5"/>
                </a:cubicBezTo>
                <a:cubicBezTo>
                  <a:pt x="0" y="7"/>
                  <a:pt x="3" y="9"/>
                  <a:pt x="5" y="9"/>
                </a:cubicBez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9" name="Freeform 61">
            <a:extLst>
              <a:ext uri="{FF2B5EF4-FFF2-40B4-BE49-F238E27FC236}">
                <a16:creationId xmlns:a16="http://schemas.microsoft.com/office/drawing/2014/main" id="{1F03593F-B21D-8F14-2A30-65EE8E4E5437}"/>
              </a:ext>
            </a:extLst>
          </xdr:cNvPr>
          <xdr:cNvSpPr>
            <a:spLocks noEditPoints="1"/>
          </xdr:cNvSpPr>
        </xdr:nvSpPr>
        <xdr:spPr bwMode="auto">
          <a:xfrm>
            <a:off x="1314450" y="6780213"/>
            <a:ext cx="147637" cy="147638"/>
          </a:xfrm>
          <a:custGeom>
            <a:avLst/>
            <a:gdLst>
              <a:gd name="T0" fmla="*/ 55 w 60"/>
              <a:gd name="T1" fmla="*/ 0 h 60"/>
              <a:gd name="T2" fmla="*/ 4 w 60"/>
              <a:gd name="T3" fmla="*/ 0 h 60"/>
              <a:gd name="T4" fmla="*/ 0 w 60"/>
              <a:gd name="T5" fmla="*/ 4 h 60"/>
              <a:gd name="T6" fmla="*/ 0 w 60"/>
              <a:gd name="T7" fmla="*/ 55 h 60"/>
              <a:gd name="T8" fmla="*/ 4 w 60"/>
              <a:gd name="T9" fmla="*/ 60 h 60"/>
              <a:gd name="T10" fmla="*/ 55 w 60"/>
              <a:gd name="T11" fmla="*/ 60 h 60"/>
              <a:gd name="T12" fmla="*/ 60 w 60"/>
              <a:gd name="T13" fmla="*/ 55 h 60"/>
              <a:gd name="T14" fmla="*/ 60 w 60"/>
              <a:gd name="T15" fmla="*/ 4 h 60"/>
              <a:gd name="T16" fmla="*/ 55 w 60"/>
              <a:gd name="T17" fmla="*/ 0 h 60"/>
              <a:gd name="T18" fmla="*/ 50 w 60"/>
              <a:gd name="T19" fmla="*/ 50 h 60"/>
              <a:gd name="T20" fmla="*/ 9 w 60"/>
              <a:gd name="T21" fmla="*/ 50 h 60"/>
              <a:gd name="T22" fmla="*/ 9 w 60"/>
              <a:gd name="T23" fmla="*/ 9 h 60"/>
              <a:gd name="T24" fmla="*/ 50 w 60"/>
              <a:gd name="T25" fmla="*/ 9 h 60"/>
              <a:gd name="T26" fmla="*/ 50 w 60"/>
              <a:gd name="T27" fmla="*/ 5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0" h="60">
                <a:moveTo>
                  <a:pt x="55" y="0"/>
                </a:moveTo>
                <a:cubicBezTo>
                  <a:pt x="4" y="0"/>
                  <a:pt x="4" y="0"/>
                  <a:pt x="4" y="0"/>
                </a:cubicBezTo>
                <a:cubicBezTo>
                  <a:pt x="2" y="0"/>
                  <a:pt x="0" y="2"/>
                  <a:pt x="0" y="4"/>
                </a:cubicBezTo>
                <a:cubicBezTo>
                  <a:pt x="0" y="55"/>
                  <a:pt x="0" y="55"/>
                  <a:pt x="0" y="55"/>
                </a:cubicBezTo>
                <a:cubicBezTo>
                  <a:pt x="0" y="58"/>
                  <a:pt x="2" y="60"/>
                  <a:pt x="4" y="60"/>
                </a:cubicBezTo>
                <a:cubicBezTo>
                  <a:pt x="55" y="60"/>
                  <a:pt x="55" y="60"/>
                  <a:pt x="55" y="60"/>
                </a:cubicBezTo>
                <a:cubicBezTo>
                  <a:pt x="58" y="60"/>
                  <a:pt x="60" y="58"/>
                  <a:pt x="60" y="55"/>
                </a:cubicBezTo>
                <a:cubicBezTo>
                  <a:pt x="60" y="4"/>
                  <a:pt x="60" y="4"/>
                  <a:pt x="60" y="4"/>
                </a:cubicBezTo>
                <a:cubicBezTo>
                  <a:pt x="60" y="2"/>
                  <a:pt x="58" y="0"/>
                  <a:pt x="55" y="0"/>
                </a:cubicBezTo>
                <a:close/>
                <a:moveTo>
                  <a:pt x="50" y="50"/>
                </a:moveTo>
                <a:cubicBezTo>
                  <a:pt x="9" y="50"/>
                  <a:pt x="9" y="50"/>
                  <a:pt x="9" y="50"/>
                </a:cubicBezTo>
                <a:cubicBezTo>
                  <a:pt x="9" y="9"/>
                  <a:pt x="9" y="9"/>
                  <a:pt x="9" y="9"/>
                </a:cubicBezTo>
                <a:cubicBezTo>
                  <a:pt x="50" y="9"/>
                  <a:pt x="50" y="9"/>
                  <a:pt x="50" y="9"/>
                </a:cubicBezTo>
                <a:lnTo>
                  <a:pt x="50" y="50"/>
                </a:ln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10" name="Freeform 62">
            <a:extLst>
              <a:ext uri="{FF2B5EF4-FFF2-40B4-BE49-F238E27FC236}">
                <a16:creationId xmlns:a16="http://schemas.microsoft.com/office/drawing/2014/main" id="{AB9AA1EA-AC51-0DA1-157A-33D51C9C10EB}"/>
              </a:ext>
            </a:extLst>
          </xdr:cNvPr>
          <xdr:cNvSpPr>
            <a:spLocks noEditPoints="1"/>
          </xdr:cNvSpPr>
        </xdr:nvSpPr>
        <xdr:spPr bwMode="auto">
          <a:xfrm>
            <a:off x="1314450" y="6981825"/>
            <a:ext cx="147637" cy="147638"/>
          </a:xfrm>
          <a:custGeom>
            <a:avLst/>
            <a:gdLst>
              <a:gd name="T0" fmla="*/ 55 w 60"/>
              <a:gd name="T1" fmla="*/ 0 h 60"/>
              <a:gd name="T2" fmla="*/ 4 w 60"/>
              <a:gd name="T3" fmla="*/ 0 h 60"/>
              <a:gd name="T4" fmla="*/ 0 w 60"/>
              <a:gd name="T5" fmla="*/ 5 h 60"/>
              <a:gd name="T6" fmla="*/ 0 w 60"/>
              <a:gd name="T7" fmla="*/ 55 h 60"/>
              <a:gd name="T8" fmla="*/ 4 w 60"/>
              <a:gd name="T9" fmla="*/ 60 h 60"/>
              <a:gd name="T10" fmla="*/ 55 w 60"/>
              <a:gd name="T11" fmla="*/ 60 h 60"/>
              <a:gd name="T12" fmla="*/ 60 w 60"/>
              <a:gd name="T13" fmla="*/ 55 h 60"/>
              <a:gd name="T14" fmla="*/ 60 w 60"/>
              <a:gd name="T15" fmla="*/ 5 h 60"/>
              <a:gd name="T16" fmla="*/ 55 w 60"/>
              <a:gd name="T17" fmla="*/ 0 h 60"/>
              <a:gd name="T18" fmla="*/ 50 w 60"/>
              <a:gd name="T19" fmla="*/ 50 h 60"/>
              <a:gd name="T20" fmla="*/ 9 w 60"/>
              <a:gd name="T21" fmla="*/ 50 h 60"/>
              <a:gd name="T22" fmla="*/ 9 w 60"/>
              <a:gd name="T23" fmla="*/ 9 h 60"/>
              <a:gd name="T24" fmla="*/ 50 w 60"/>
              <a:gd name="T25" fmla="*/ 9 h 60"/>
              <a:gd name="T26" fmla="*/ 50 w 60"/>
              <a:gd name="T27" fmla="*/ 5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0" h="60">
                <a:moveTo>
                  <a:pt x="55" y="0"/>
                </a:moveTo>
                <a:cubicBezTo>
                  <a:pt x="4" y="0"/>
                  <a:pt x="4" y="0"/>
                  <a:pt x="4" y="0"/>
                </a:cubicBezTo>
                <a:cubicBezTo>
                  <a:pt x="2" y="0"/>
                  <a:pt x="0" y="2"/>
                  <a:pt x="0" y="5"/>
                </a:cubicBezTo>
                <a:cubicBezTo>
                  <a:pt x="0" y="55"/>
                  <a:pt x="0" y="55"/>
                  <a:pt x="0" y="55"/>
                </a:cubicBezTo>
                <a:cubicBezTo>
                  <a:pt x="0" y="58"/>
                  <a:pt x="2" y="60"/>
                  <a:pt x="4" y="60"/>
                </a:cubicBezTo>
                <a:cubicBezTo>
                  <a:pt x="55" y="60"/>
                  <a:pt x="55" y="60"/>
                  <a:pt x="55" y="60"/>
                </a:cubicBezTo>
                <a:cubicBezTo>
                  <a:pt x="58" y="60"/>
                  <a:pt x="60" y="58"/>
                  <a:pt x="60" y="55"/>
                </a:cubicBezTo>
                <a:cubicBezTo>
                  <a:pt x="60" y="5"/>
                  <a:pt x="60" y="5"/>
                  <a:pt x="60" y="5"/>
                </a:cubicBezTo>
                <a:cubicBezTo>
                  <a:pt x="60" y="2"/>
                  <a:pt x="58" y="0"/>
                  <a:pt x="55" y="0"/>
                </a:cubicBezTo>
                <a:close/>
                <a:moveTo>
                  <a:pt x="50" y="50"/>
                </a:moveTo>
                <a:cubicBezTo>
                  <a:pt x="9" y="50"/>
                  <a:pt x="9" y="50"/>
                  <a:pt x="9" y="50"/>
                </a:cubicBezTo>
                <a:cubicBezTo>
                  <a:pt x="9" y="9"/>
                  <a:pt x="9" y="9"/>
                  <a:pt x="9" y="9"/>
                </a:cubicBezTo>
                <a:cubicBezTo>
                  <a:pt x="50" y="9"/>
                  <a:pt x="50" y="9"/>
                  <a:pt x="50" y="9"/>
                </a:cubicBezTo>
                <a:lnTo>
                  <a:pt x="50" y="50"/>
                </a:ln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sp macro="" textlink="">
        <xdr:nvSpPr>
          <xdr:cNvPr id="11" name="Freeform 63">
            <a:extLst>
              <a:ext uri="{FF2B5EF4-FFF2-40B4-BE49-F238E27FC236}">
                <a16:creationId xmlns:a16="http://schemas.microsoft.com/office/drawing/2014/main" id="{107F2610-D2A2-1458-3FB8-378C60DABD74}"/>
              </a:ext>
            </a:extLst>
          </xdr:cNvPr>
          <xdr:cNvSpPr>
            <a:spLocks/>
          </xdr:cNvSpPr>
        </xdr:nvSpPr>
        <xdr:spPr bwMode="auto">
          <a:xfrm>
            <a:off x="1311275" y="6561138"/>
            <a:ext cx="182562" cy="158750"/>
          </a:xfrm>
          <a:custGeom>
            <a:avLst/>
            <a:gdLst>
              <a:gd name="T0" fmla="*/ 65 w 74"/>
              <a:gd name="T1" fmla="*/ 2 h 65"/>
              <a:gd name="T2" fmla="*/ 23 w 74"/>
              <a:gd name="T3" fmla="*/ 53 h 65"/>
              <a:gd name="T4" fmla="*/ 9 w 74"/>
              <a:gd name="T5" fmla="*/ 38 h 65"/>
              <a:gd name="T6" fmla="*/ 2 w 74"/>
              <a:gd name="T7" fmla="*/ 37 h 65"/>
              <a:gd name="T8" fmla="*/ 2 w 74"/>
              <a:gd name="T9" fmla="*/ 44 h 65"/>
              <a:gd name="T10" fmla="*/ 19 w 74"/>
              <a:gd name="T11" fmla="*/ 64 h 65"/>
              <a:gd name="T12" fmla="*/ 23 w 74"/>
              <a:gd name="T13" fmla="*/ 65 h 65"/>
              <a:gd name="T14" fmla="*/ 23 w 74"/>
              <a:gd name="T15" fmla="*/ 65 h 65"/>
              <a:gd name="T16" fmla="*/ 27 w 74"/>
              <a:gd name="T17" fmla="*/ 64 h 65"/>
              <a:gd name="T18" fmla="*/ 72 w 74"/>
              <a:gd name="T19" fmla="*/ 8 h 65"/>
              <a:gd name="T20" fmla="*/ 72 w 74"/>
              <a:gd name="T21" fmla="*/ 1 h 65"/>
              <a:gd name="T22" fmla="*/ 65 w 74"/>
              <a:gd name="T23" fmla="*/ 2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74" h="65">
                <a:moveTo>
                  <a:pt x="65" y="2"/>
                </a:moveTo>
                <a:cubicBezTo>
                  <a:pt x="23" y="53"/>
                  <a:pt x="23" y="53"/>
                  <a:pt x="23" y="53"/>
                </a:cubicBezTo>
                <a:cubicBezTo>
                  <a:pt x="9" y="38"/>
                  <a:pt x="9" y="38"/>
                  <a:pt x="9" y="38"/>
                </a:cubicBezTo>
                <a:cubicBezTo>
                  <a:pt x="7" y="36"/>
                  <a:pt x="4" y="36"/>
                  <a:pt x="2" y="37"/>
                </a:cubicBezTo>
                <a:cubicBezTo>
                  <a:pt x="0" y="39"/>
                  <a:pt x="0" y="42"/>
                  <a:pt x="2" y="44"/>
                </a:cubicBezTo>
                <a:cubicBezTo>
                  <a:pt x="19" y="64"/>
                  <a:pt x="19" y="64"/>
                  <a:pt x="19" y="64"/>
                </a:cubicBezTo>
                <a:cubicBezTo>
                  <a:pt x="20" y="65"/>
                  <a:pt x="22" y="65"/>
                  <a:pt x="23" y="65"/>
                </a:cubicBezTo>
                <a:cubicBezTo>
                  <a:pt x="23" y="65"/>
                  <a:pt x="23" y="65"/>
                  <a:pt x="23" y="65"/>
                </a:cubicBezTo>
                <a:cubicBezTo>
                  <a:pt x="25" y="65"/>
                  <a:pt x="26" y="65"/>
                  <a:pt x="27" y="64"/>
                </a:cubicBezTo>
                <a:cubicBezTo>
                  <a:pt x="72" y="8"/>
                  <a:pt x="72" y="8"/>
                  <a:pt x="72" y="8"/>
                </a:cubicBezTo>
                <a:cubicBezTo>
                  <a:pt x="74" y="6"/>
                  <a:pt x="74" y="3"/>
                  <a:pt x="72" y="1"/>
                </a:cubicBezTo>
                <a:cubicBezTo>
                  <a:pt x="70" y="0"/>
                  <a:pt x="67" y="0"/>
                  <a:pt x="65" y="2"/>
                </a:cubicBezTo>
                <a:close/>
              </a:path>
            </a:pathLst>
          </a:custGeom>
          <a:grpFill/>
          <a:ln>
            <a:no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80682" tIns="40341" rIns="80682" bIns="40341"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588"/>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47DF-C91A-461C-B9C1-1B5AF53871CE}">
  <sheetPr codeName="Sheet3">
    <tabColor theme="1"/>
  </sheetPr>
  <dimension ref="A1:T217"/>
  <sheetViews>
    <sheetView showGridLines="0" topLeftCell="A16" zoomScale="80" zoomScaleNormal="80" workbookViewId="0">
      <selection activeCell="I48" sqref="I48"/>
    </sheetView>
  </sheetViews>
  <sheetFormatPr defaultRowHeight="15" x14ac:dyDescent="0.25"/>
  <cols>
    <col min="1" max="1" width="4.28515625" customWidth="1"/>
    <col min="2" max="2" width="16.85546875" customWidth="1"/>
    <col min="3" max="3" width="14.7109375" customWidth="1"/>
    <col min="4" max="4" width="14.140625" customWidth="1"/>
    <col min="5" max="5" width="4.7109375" customWidth="1"/>
    <col min="6" max="6" width="9.140625" customWidth="1"/>
    <col min="7" max="8" width="14.85546875" customWidth="1"/>
    <col min="9" max="9" width="49.85546875" bestFit="1" customWidth="1"/>
    <col min="10" max="10" width="16.42578125" hidden="1" customWidth="1"/>
    <col min="11" max="11" width="18.85546875" hidden="1" customWidth="1"/>
    <col min="12" max="12" width="16.42578125" customWidth="1"/>
    <col min="13" max="14" width="16.42578125" hidden="1" customWidth="1"/>
    <col min="15" max="15" width="16.42578125" customWidth="1"/>
    <col min="16" max="17" width="17.5703125" customWidth="1"/>
  </cols>
  <sheetData>
    <row r="1" spans="1:20" s="3" customFormat="1" ht="21" x14ac:dyDescent="0.35">
      <c r="A1" s="1" t="s">
        <v>0</v>
      </c>
      <c r="B1" s="2"/>
      <c r="C1" s="2"/>
      <c r="E1" s="2"/>
      <c r="F1" s="2"/>
      <c r="G1" s="2"/>
      <c r="H1" s="2"/>
      <c r="I1" s="2"/>
    </row>
    <row r="2" spans="1:20" s="6" customFormat="1" ht="1.5" customHeight="1" x14ac:dyDescent="0.3">
      <c r="A2" s="4"/>
      <c r="B2" s="5"/>
      <c r="C2" s="5"/>
      <c r="D2" s="5"/>
      <c r="E2" s="5"/>
      <c r="F2" s="5"/>
      <c r="G2" s="5"/>
      <c r="H2" s="5"/>
      <c r="I2" s="5"/>
    </row>
    <row r="3" spans="1:20" s="12" customFormat="1" x14ac:dyDescent="0.25">
      <c r="A3" s="7" t="s">
        <v>1</v>
      </c>
      <c r="B3" s="8"/>
      <c r="C3" s="9"/>
      <c r="D3" s="9"/>
      <c r="E3" s="9"/>
      <c r="F3" s="9"/>
      <c r="G3" s="9"/>
      <c r="H3" s="10" t="s">
        <v>2</v>
      </c>
      <c r="I3" s="11" t="s">
        <v>3</v>
      </c>
    </row>
    <row r="4" spans="1:20" x14ac:dyDescent="0.25">
      <c r="A4" s="7" t="s">
        <v>4</v>
      </c>
    </row>
    <row r="5" spans="1:20" ht="18.75" x14ac:dyDescent="0.3">
      <c r="A5" s="13" t="s">
        <v>5</v>
      </c>
    </row>
    <row r="6" spans="1:20" ht="19.5" thickBot="1" x14ac:dyDescent="0.35">
      <c r="C6" s="14"/>
      <c r="G6" s="15" t="s">
        <v>6</v>
      </c>
      <c r="H6" s="16"/>
      <c r="I6" s="17"/>
      <c r="J6" s="17"/>
      <c r="K6" s="17"/>
      <c r="L6" s="17"/>
      <c r="M6" s="17"/>
      <c r="N6" s="17"/>
      <c r="O6" s="17"/>
      <c r="P6" s="17"/>
      <c r="Q6" s="17"/>
    </row>
    <row r="7" spans="1:20" ht="15.75" thickBot="1" x14ac:dyDescent="0.3">
      <c r="B7" s="18" t="s">
        <v>7</v>
      </c>
      <c r="C7" s="19"/>
      <c r="D7" s="20" t="s">
        <v>8</v>
      </c>
      <c r="G7" s="21"/>
      <c r="H7" s="21"/>
      <c r="I7" s="21"/>
      <c r="J7" s="22" t="s">
        <v>9</v>
      </c>
      <c r="K7" s="22"/>
      <c r="L7" s="22"/>
      <c r="M7" s="22"/>
      <c r="N7" s="23"/>
      <c r="O7" s="24"/>
      <c r="P7" s="23"/>
      <c r="Q7" s="24"/>
    </row>
    <row r="8" spans="1:20" ht="45" x14ac:dyDescent="0.25">
      <c r="B8" s="665" t="s">
        <v>10</v>
      </c>
      <c r="C8" s="25" t="s">
        <v>11</v>
      </c>
      <c r="D8" s="26" t="s">
        <v>12</v>
      </c>
      <c r="G8" s="27"/>
      <c r="H8" s="28"/>
      <c r="I8" s="28" t="s">
        <v>13</v>
      </c>
      <c r="J8" s="29" t="str">
        <f>Year&amp;" Total DSH Payment"</f>
        <v>2023 Total DSH Payment</v>
      </c>
      <c r="K8" s="30" t="s">
        <v>14</v>
      </c>
      <c r="L8" s="30" t="s">
        <v>15</v>
      </c>
      <c r="M8" s="30" t="s">
        <v>16</v>
      </c>
      <c r="N8" s="30" t="s">
        <v>17</v>
      </c>
      <c r="O8" s="30" t="str">
        <f>Year&amp;" Final DSH IGT"</f>
        <v>2023 Final DSH IGT</v>
      </c>
      <c r="P8" s="30" t="s">
        <v>18</v>
      </c>
      <c r="Q8" s="30" t="s">
        <v>19</v>
      </c>
    </row>
    <row r="9" spans="1:20" x14ac:dyDescent="0.25">
      <c r="B9" s="667"/>
      <c r="C9" s="31" t="s">
        <v>20</v>
      </c>
      <c r="D9" s="32" t="s">
        <v>12</v>
      </c>
      <c r="G9" s="33" t="s">
        <v>21</v>
      </c>
      <c r="H9" s="34"/>
      <c r="I9" s="35">
        <f>MAX(F17:F32)</f>
        <v>12</v>
      </c>
      <c r="J9" s="36">
        <f t="shared" ref="J9:Q9" si="0">SUM(J17:J32)</f>
        <v>358569122.83512264</v>
      </c>
      <c r="K9" s="37">
        <f t="shared" si="0"/>
        <v>0</v>
      </c>
      <c r="L9" s="37">
        <f t="shared" si="0"/>
        <v>358569122.84999996</v>
      </c>
      <c r="M9" s="37">
        <f t="shared" si="0"/>
        <v>125965333</v>
      </c>
      <c r="N9" s="37">
        <f t="shared" si="0"/>
        <v>0</v>
      </c>
      <c r="O9" s="37">
        <f t="shared" si="0"/>
        <v>125965333</v>
      </c>
      <c r="P9" s="37">
        <f t="shared" si="0"/>
        <v>0</v>
      </c>
      <c r="Q9" s="37">
        <f t="shared" si="0"/>
        <v>0</v>
      </c>
      <c r="R9" s="38"/>
    </row>
    <row r="10" spans="1:20" ht="15.75" thickBot="1" x14ac:dyDescent="0.3">
      <c r="B10" s="666"/>
      <c r="C10" s="39" t="s">
        <v>22</v>
      </c>
      <c r="D10" s="40" t="s">
        <v>12</v>
      </c>
      <c r="G10" s="41" t="s">
        <v>23</v>
      </c>
      <c r="H10" s="42"/>
      <c r="I10" s="43">
        <f>MAX(F38:F308)</f>
        <v>149</v>
      </c>
      <c r="J10" s="44">
        <f t="shared" ref="J10:Q10" si="1">SUM(J38:J308)</f>
        <v>1748617551.0118132</v>
      </c>
      <c r="K10" s="45">
        <f t="shared" si="1"/>
        <v>0</v>
      </c>
      <c r="L10" s="45">
        <f t="shared" si="1"/>
        <v>1723555305.4900002</v>
      </c>
      <c r="M10" s="45">
        <f t="shared" si="1"/>
        <v>605484978.83532643</v>
      </c>
      <c r="N10" s="45">
        <f t="shared" si="1"/>
        <v>0</v>
      </c>
      <c r="O10" s="45">
        <f t="shared" si="1"/>
        <v>605484978.85999978</v>
      </c>
      <c r="P10" s="45">
        <f t="shared" si="1"/>
        <v>25062245.521812856</v>
      </c>
      <c r="Q10" s="45">
        <f t="shared" si="1"/>
        <v>8804366.8518128544</v>
      </c>
      <c r="R10" s="38"/>
    </row>
    <row r="11" spans="1:20" ht="15.75" thickBot="1" x14ac:dyDescent="0.3">
      <c r="B11" s="46"/>
      <c r="C11" s="47"/>
      <c r="D11" s="48"/>
      <c r="G11" s="49" t="s">
        <v>24</v>
      </c>
      <c r="H11" s="50"/>
      <c r="I11" s="51">
        <f>SUM(I9:I10)</f>
        <v>161</v>
      </c>
      <c r="J11" s="52">
        <f t="shared" ref="J11:Q11" si="2">SUM(J9:J10)</f>
        <v>2107186673.8469357</v>
      </c>
      <c r="K11" s="53">
        <f t="shared" si="2"/>
        <v>0</v>
      </c>
      <c r="L11" s="53">
        <f t="shared" si="2"/>
        <v>2082124428.3400002</v>
      </c>
      <c r="M11" s="53">
        <f t="shared" si="2"/>
        <v>731450311.83532643</v>
      </c>
      <c r="N11" s="53">
        <f t="shared" si="2"/>
        <v>0</v>
      </c>
      <c r="O11" s="53">
        <f t="shared" si="2"/>
        <v>731450311.85999978</v>
      </c>
      <c r="P11" s="53">
        <f t="shared" si="2"/>
        <v>25062245.521812856</v>
      </c>
      <c r="Q11" s="53">
        <f t="shared" si="2"/>
        <v>8804366.8518128544</v>
      </c>
      <c r="R11" s="38"/>
    </row>
    <row r="12" spans="1:20" x14ac:dyDescent="0.25">
      <c r="B12" s="668" t="s">
        <v>25</v>
      </c>
      <c r="C12" s="25" t="s">
        <v>21</v>
      </c>
      <c r="D12" s="26" t="s">
        <v>12</v>
      </c>
    </row>
    <row r="13" spans="1:20" ht="18.75" x14ac:dyDescent="0.3">
      <c r="B13" s="669"/>
      <c r="C13" s="31" t="s">
        <v>26</v>
      </c>
      <c r="D13" s="32" t="s">
        <v>12</v>
      </c>
      <c r="F13" s="54" t="s">
        <v>27</v>
      </c>
      <c r="G13" s="17"/>
      <c r="H13" s="17"/>
      <c r="I13" s="17"/>
      <c r="J13" s="17"/>
      <c r="K13" s="17"/>
      <c r="L13" s="17"/>
      <c r="M13" s="17"/>
      <c r="N13" s="17"/>
      <c r="O13" s="17"/>
      <c r="P13" s="17"/>
      <c r="Q13" s="55"/>
      <c r="T13" s="56"/>
    </row>
    <row r="14" spans="1:20" ht="16.5" thickBot="1" x14ac:dyDescent="0.3">
      <c r="B14" s="670"/>
      <c r="C14" s="39" t="s">
        <v>28</v>
      </c>
      <c r="D14" s="40" t="s">
        <v>12</v>
      </c>
      <c r="F14" s="57" t="s">
        <v>29</v>
      </c>
      <c r="G14" s="58"/>
      <c r="H14" s="58"/>
      <c r="I14" s="59">
        <f>MAX(State!AG:AG)</f>
        <v>12</v>
      </c>
      <c r="J14" s="60"/>
      <c r="K14" s="60"/>
      <c r="L14" s="60"/>
      <c r="M14" s="60"/>
      <c r="N14" s="60"/>
      <c r="O14" s="60"/>
      <c r="P14" s="60"/>
      <c r="Q14" s="50"/>
    </row>
    <row r="15" spans="1:20" ht="15.75" thickBot="1" x14ac:dyDescent="0.3">
      <c r="B15" s="46"/>
      <c r="C15" s="47"/>
      <c r="D15" s="48"/>
      <c r="F15" s="21"/>
      <c r="G15" s="61"/>
      <c r="H15" s="61"/>
      <c r="I15" s="21"/>
      <c r="J15" s="62" t="s">
        <v>9</v>
      </c>
      <c r="K15" s="62"/>
      <c r="L15" s="62"/>
      <c r="M15" s="62"/>
      <c r="N15" s="62"/>
      <c r="O15" s="62"/>
      <c r="P15" s="62"/>
      <c r="Q15" s="63"/>
    </row>
    <row r="16" spans="1:20" ht="45" x14ac:dyDescent="0.25">
      <c r="B16" s="665" t="s">
        <v>30</v>
      </c>
      <c r="C16" s="25" t="s">
        <v>31</v>
      </c>
      <c r="D16" s="26" t="s">
        <v>12</v>
      </c>
      <c r="F16" s="64" t="s">
        <v>32</v>
      </c>
      <c r="G16" s="64" t="str">
        <f>Year&amp;" TPI"</f>
        <v>2023 TPI</v>
      </c>
      <c r="H16" s="64" t="str">
        <f>Year&amp;" NPI"</f>
        <v>2023 NPI</v>
      </c>
      <c r="I16" s="64" t="s">
        <v>33</v>
      </c>
      <c r="J16" s="30" t="s">
        <v>34</v>
      </c>
      <c r="K16" s="30" t="s">
        <v>14</v>
      </c>
      <c r="L16" s="30" t="s">
        <v>15</v>
      </c>
      <c r="M16" s="30" t="s">
        <v>16</v>
      </c>
      <c r="N16" s="30" t="s">
        <v>17</v>
      </c>
      <c r="O16" s="30" t="str">
        <f>Year&amp;" Final DSH IGT"</f>
        <v>2023 Final DSH IGT</v>
      </c>
      <c r="P16" s="30" t="s">
        <v>18</v>
      </c>
      <c r="Q16" s="30" t="s">
        <v>19</v>
      </c>
    </row>
    <row r="17" spans="2:17" ht="15.75" thickBot="1" x14ac:dyDescent="0.3">
      <c r="B17" s="666"/>
      <c r="C17" s="39" t="s">
        <v>35</v>
      </c>
      <c r="D17" s="40" t="s">
        <v>12</v>
      </c>
      <c r="F17" s="65">
        <f>IF(I14&gt;0,1,"No Results")</f>
        <v>1</v>
      </c>
      <c r="G17" s="66" t="str">
        <f>IF(OR(F17="", F17="No Results"), "", INDEX(State!$D:$D, MATCH($F17, State!$AG:$AG, 0)))</f>
        <v>021187203</v>
      </c>
      <c r="H17" s="66" t="str">
        <f>IF(OR(F17="", F17="No Results"), "", INDEX(State!$E:$E, MATCH($G17, State!$D:$D, 0)))</f>
        <v>1578547667</v>
      </c>
      <c r="I17" s="67" t="str">
        <f>IF(OR(F17="", F17="No Results"), "", INDEX(State!$F:$F, MATCH($G17, State!$D:$D, 0)))</f>
        <v>Harris County Psychiatric Center</v>
      </c>
      <c r="J17" s="37">
        <f>IF(OR(F17="", F17="No Results"),  "", SUMIFS(State!$S:$S, State!$D:$D, $G17))</f>
        <v>21457661.699886367</v>
      </c>
      <c r="K17" s="37">
        <f>IF(OR(F17="", F17="No Results"),  "", SUMIFS(State!$W:$W, State!$D:$D, $G17))</f>
        <v>0</v>
      </c>
      <c r="L17" s="37">
        <f>IF(OR(F17="", F17="No Results"), "", SUMIFS(State!$Y:$Y, State!$D:$D, $G17))</f>
        <v>21457661.699999999</v>
      </c>
      <c r="M17" s="37">
        <f>IF(OR(F17="", F17="No Results"),  "", SUMIFS(State!$U:$U, State!$D:$D, $G17))</f>
        <v>7538077</v>
      </c>
      <c r="N17" s="37">
        <f>IF(OR(F17="", F17="No Results"),  "", SUMIFS(State!$X:$X, State!$D:$D, $G17))</f>
        <v>0</v>
      </c>
      <c r="O17" s="37">
        <f>IF(OR(F17="", F17="No Results"),  "", SUMIFS(State!$Z:$Z, State!$D:$D, $G17))</f>
        <v>7538077</v>
      </c>
      <c r="P17" s="37">
        <f>IF(OR(F17="", F17="No Results"),  "", SUMIFS('Non-State'!CA:CA, 'Non-State'!C:C, $G17))</f>
        <v>0</v>
      </c>
      <c r="Q17" s="37">
        <f>IF(OR(G17="", G17="No Results"),  "", SUMIFS('Non-State'!CB:CB, 'Non-State'!C:C, $G17))</f>
        <v>0</v>
      </c>
    </row>
    <row r="18" spans="2:17" ht="15.75" thickBot="1" x14ac:dyDescent="0.3">
      <c r="B18" s="46"/>
      <c r="C18" s="47"/>
      <c r="D18" s="48"/>
      <c r="F18" s="66">
        <f t="shared" ref="F18:F32" si="3">IF(F17&lt;$I$14, F17+1, "")</f>
        <v>2</v>
      </c>
      <c r="G18" s="66" t="str">
        <f>IF(OR(F18="", F18="No Results"), "", INDEX(State!$D:$D, MATCH($F18, State!$AG:$AG, 0)))</f>
        <v>021194801</v>
      </c>
      <c r="H18" s="66" t="str">
        <f>IF(OR(F18="", F18="No Results"), "", INDEX(State!$E:$E, MATCH($G18, State!$D:$D, 0)))</f>
        <v>1326052226</v>
      </c>
      <c r="I18" s="67" t="str">
        <f>IF(OR(F18="", F18="No Results"), "", INDEX(State!$F:$F, MATCH($G18, State!$D:$D, 0)))</f>
        <v>Texas Hhsc Austin State Hospital</v>
      </c>
      <c r="J18" s="37">
        <f>IF(OR(F18="", F18="No Results"),  "", SUMIFS(State!$S:$S, State!$D:$D, $G18))</f>
        <v>34585368.937614448</v>
      </c>
      <c r="K18" s="37">
        <f>IF(OR(F18="", F18="No Results"),  "", SUMIFS(State!$W:$W, State!$D:$D, $G18))</f>
        <v>0</v>
      </c>
      <c r="L18" s="37">
        <f>IF(OR(F18="", F18="No Results"), "", SUMIFS(State!$Y:$Y, State!$D:$D, $G18))</f>
        <v>34585368.939999998</v>
      </c>
      <c r="M18" s="37">
        <f>IF(OR(F18="", F18="No Results"),  "", SUMIFS(State!$U:$U, State!$D:$D, $G18))</f>
        <v>12149840</v>
      </c>
      <c r="N18" s="37">
        <f>IF(OR(F18="", F18="No Results"),  "", SUMIFS(State!$X:$X, State!$D:$D, $G18))</f>
        <v>0</v>
      </c>
      <c r="O18" s="37">
        <f>IF(OR(F18="", F18="No Results"),  "", SUMIFS(State!$Z:$Z, State!$D:$D, $G18))</f>
        <v>12149840</v>
      </c>
      <c r="P18" s="37">
        <f>IF(OR(F18="", F18="No Results"),  "", SUMIFS('Non-State'!CA:CA, 'Non-State'!C:C, $G18))</f>
        <v>0</v>
      </c>
      <c r="Q18" s="37">
        <f>IF(OR(G18="", G18="No Results"),  "", SUMIFS('Non-State'!CB:CB, 'Non-State'!C:C, $G18))</f>
        <v>0</v>
      </c>
    </row>
    <row r="19" spans="2:17" x14ac:dyDescent="0.25">
      <c r="B19" s="665" t="s">
        <v>36</v>
      </c>
      <c r="C19" s="25" t="s">
        <v>37</v>
      </c>
      <c r="D19" s="26" t="s">
        <v>12</v>
      </c>
      <c r="F19" s="66">
        <f t="shared" si="3"/>
        <v>3</v>
      </c>
      <c r="G19" s="66" t="str">
        <f>IF(OR(F19="", F19="No Results"), "", INDEX(State!$D:$D, MATCH($F19, State!$AG:$AG, 0)))</f>
        <v>021195501</v>
      </c>
      <c r="H19" s="66" t="str">
        <f>IF(OR(F19="", F19="No Results"), "", INDEX(State!$E:$E, MATCH($G19, State!$D:$D, 0)))</f>
        <v>1477669208</v>
      </c>
      <c r="I19" s="67" t="str">
        <f>IF(OR(F19="", F19="No Results"), "", INDEX(State!$F:$F, MATCH($G19, State!$D:$D, 0)))</f>
        <v>Texas Hhsc North Texas State Hospital - Wichita</v>
      </c>
      <c r="J19" s="37">
        <f>IF(OR(F19="", F19="No Results"),  "", SUMIFS(State!$S:$S, State!$D:$D, $G19))</f>
        <v>41222841.615307331</v>
      </c>
      <c r="K19" s="37">
        <f>IF(OR(F19="", F19="No Results"),  "", SUMIFS(State!$W:$W, State!$D:$D, $G19))</f>
        <v>0</v>
      </c>
      <c r="L19" s="37">
        <f>IF(OR(F19="", F19="No Results"), "", SUMIFS(State!$Y:$Y, State!$D:$D, $G19))</f>
        <v>41222841.619999997</v>
      </c>
      <c r="M19" s="37">
        <f>IF(OR(F19="", F19="No Results"),  "", SUMIFS(State!$U:$U, State!$D:$D, $G19))</f>
        <v>14481584</v>
      </c>
      <c r="N19" s="37">
        <f>IF(OR(F19="", F19="No Results"),  "", SUMIFS(State!$X:$X, State!$D:$D, $G19))</f>
        <v>0</v>
      </c>
      <c r="O19" s="37">
        <f>IF(OR(F19="", F19="No Results"),  "", SUMIFS(State!$Z:$Z, State!$D:$D, $G19))</f>
        <v>14481584</v>
      </c>
      <c r="P19" s="37">
        <f>IF(OR(F19="", F19="No Results"),  "", SUMIFS('Non-State'!CA:CA, 'Non-State'!C:C, $G19))</f>
        <v>0</v>
      </c>
      <c r="Q19" s="37">
        <f>IF(OR(G19="", G19="No Results"),  "", SUMIFS('Non-State'!CB:CB, 'Non-State'!C:C, $G19))</f>
        <v>0</v>
      </c>
    </row>
    <row r="20" spans="2:17" ht="15.75" thickBot="1" x14ac:dyDescent="0.3">
      <c r="B20" s="666"/>
      <c r="C20" s="39" t="s">
        <v>35</v>
      </c>
      <c r="D20" s="40" t="s">
        <v>12</v>
      </c>
      <c r="F20" s="66">
        <f t="shared" si="3"/>
        <v>4</v>
      </c>
      <c r="G20" s="66" t="str">
        <f>IF(OR(F20="", F20="No Results"), "", INDEX(State!$D:$D, MATCH($F20, State!$AG:$AG, 0)))</f>
        <v>021196301</v>
      </c>
      <c r="H20" s="66" t="str">
        <f>IF(OR(F20="", F20="No Results"), "", INDEX(State!$E:$E, MATCH($G20, State!$D:$D, 0)))</f>
        <v>1245344472</v>
      </c>
      <c r="I20" s="67" t="str">
        <f>IF(OR(F20="", F20="No Results"), "", INDEX(State!$F:$F, MATCH($G20, State!$D:$D, 0)))</f>
        <v>Texas Hhsc North Texas State Hospital - Vernon</v>
      </c>
      <c r="J20" s="37">
        <f>IF(OR(F20="", F20="No Results"),  "", SUMIFS(State!$S:$S, State!$D:$D, $G20))</f>
        <v>46150545.886115335</v>
      </c>
      <c r="K20" s="37">
        <f>IF(OR(F20="", F20="No Results"),  "", SUMIFS(State!$W:$W, State!$D:$D, $G20))</f>
        <v>0</v>
      </c>
      <c r="L20" s="37">
        <f>IF(OR(F20="", F20="No Results"), "", SUMIFS(State!$Y:$Y, State!$D:$D, $G20))</f>
        <v>46150545.890000001</v>
      </c>
      <c r="M20" s="37">
        <f>IF(OR(F20="", F20="No Results"),  "", SUMIFS(State!$U:$U, State!$D:$D, $G20))</f>
        <v>16212687</v>
      </c>
      <c r="N20" s="37">
        <f>IF(OR(F20="", F20="No Results"),  "", SUMIFS(State!$X:$X, State!$D:$D, $G20))</f>
        <v>0</v>
      </c>
      <c r="O20" s="37">
        <f>IF(OR(F20="", F20="No Results"),  "", SUMIFS(State!$Z:$Z, State!$D:$D, $G20))</f>
        <v>16212687</v>
      </c>
      <c r="P20" s="37">
        <f>IF(OR(F20="", F20="No Results"),  "", SUMIFS('Non-State'!CA:CA, 'Non-State'!C:C, $G20))</f>
        <v>0</v>
      </c>
      <c r="Q20" s="37">
        <f>IF(OR(G20="", G20="No Results"),  "", SUMIFS('Non-State'!CB:CB, 'Non-State'!C:C, $G20))</f>
        <v>0</v>
      </c>
    </row>
    <row r="21" spans="2:17" ht="15.75" thickBot="1" x14ac:dyDescent="0.3">
      <c r="B21" s="46"/>
      <c r="C21" s="47"/>
      <c r="D21" s="48"/>
      <c r="F21" s="66">
        <f t="shared" si="3"/>
        <v>5</v>
      </c>
      <c r="G21" s="66" t="str">
        <f>IF(OR(F21="", F21="No Results"), "", INDEX(State!$D:$D, MATCH($F21, State!$AG:$AG, 0)))</f>
        <v>021219301</v>
      </c>
      <c r="H21" s="66" t="str">
        <f>IF(OR(F21="", F21="No Results"), "", INDEX(State!$E:$E, MATCH($G21, State!$D:$D, 0)))</f>
        <v>1821161167</v>
      </c>
      <c r="I21" s="67" t="str">
        <f>IF(OR(F21="", F21="No Results"), "", INDEX(State!$F:$F, MATCH($G21, State!$D:$D, 0)))</f>
        <v>Texas Hhsc Rio Grande State Hospital</v>
      </c>
      <c r="J21" s="37">
        <f>IF(OR(F21="", F21="No Results"),  "", SUMIFS(State!$S:$S, State!$D:$D, $G21))</f>
        <v>8553294.4929191135</v>
      </c>
      <c r="K21" s="37">
        <f>IF(OR(F21="", F21="No Results"),  "", SUMIFS(State!$W:$W, State!$D:$D, $G21))</f>
        <v>0</v>
      </c>
      <c r="L21" s="37">
        <f>IF(OR(F21="", F21="No Results"), "", SUMIFS(State!$Y:$Y, State!$D:$D, $G21))</f>
        <v>8553294.4900000002</v>
      </c>
      <c r="M21" s="37">
        <f>IF(OR(F21="", F21="No Results"),  "", SUMIFS(State!$U:$U, State!$D:$D, $G21))</f>
        <v>3004772</v>
      </c>
      <c r="N21" s="37">
        <f>IF(OR(F21="", F21="No Results"),  "", SUMIFS(State!$X:$X, State!$D:$D, $G21))</f>
        <v>0</v>
      </c>
      <c r="O21" s="37">
        <f>IF(OR(F21="", F21="No Results"),  "", SUMIFS(State!$Z:$Z, State!$D:$D, $G21))</f>
        <v>3004772</v>
      </c>
      <c r="P21" s="37">
        <f>IF(OR(F21="", F21="No Results"),  "", SUMIFS('Non-State'!CA:CA, 'Non-State'!C:C, $G21))</f>
        <v>0</v>
      </c>
      <c r="Q21" s="37">
        <f>IF(OR(G21="", G21="No Results"),  "", SUMIFS('Non-State'!CB:CB, 'Non-State'!C:C, $G21))</f>
        <v>0</v>
      </c>
    </row>
    <row r="22" spans="2:17" x14ac:dyDescent="0.25">
      <c r="B22" s="665" t="s">
        <v>38</v>
      </c>
      <c r="C22" s="25" t="s">
        <v>37</v>
      </c>
      <c r="D22" s="26" t="s">
        <v>12</v>
      </c>
      <c r="F22" s="66">
        <f t="shared" si="3"/>
        <v>6</v>
      </c>
      <c r="G22" s="66" t="str">
        <f>IF(OR(F22="", F22="No Results"), "", INDEX(State!$D:$D, MATCH($F22, State!$AG:$AG, 0)))</f>
        <v>112672402</v>
      </c>
      <c r="H22" s="66" t="str">
        <f>IF(OR(F22="", F22="No Results"), "", INDEX(State!$E:$E, MATCH($G22, State!$D:$D, 0)))</f>
        <v>1174582050</v>
      </c>
      <c r="I22" s="67" t="str">
        <f>IF(OR(F22="", F22="No Results"), "", INDEX(State!$F:$F, MATCH($G22, State!$D:$D, 0)))</f>
        <v>The University Of Texas Md Anderson Cancer Center</v>
      </c>
      <c r="J22" s="37">
        <f>IF(OR(F22="", F22="No Results"),  "", SUMIFS(State!$S:$S, State!$D:$D, $G22))</f>
        <v>54271626</v>
      </c>
      <c r="K22" s="37">
        <f>IF(OR(F22="", F22="No Results"),  "", SUMIFS(State!$W:$W, State!$D:$D, $G22))</f>
        <v>0</v>
      </c>
      <c r="L22" s="37">
        <f>IF(OR(F22="", F22="No Results"), "", SUMIFS(State!$Y:$Y, State!$D:$D, $G22))</f>
        <v>54271626</v>
      </c>
      <c r="M22" s="37">
        <f>IF(OR(F22="", F22="No Results"),  "", SUMIFS(State!$U:$U, State!$D:$D, $G22))</f>
        <v>19065622</v>
      </c>
      <c r="N22" s="37">
        <f>IF(OR(F22="", F22="No Results"),  "", SUMIFS(State!$X:$X, State!$D:$D, $G22))</f>
        <v>0</v>
      </c>
      <c r="O22" s="37">
        <f>IF(OR(F22="", F22="No Results"),  "", SUMIFS(State!$Z:$Z, State!$D:$D, $G22))</f>
        <v>19065622</v>
      </c>
      <c r="P22" s="37">
        <f>IF(OR(F22="", F22="No Results"),  "", SUMIFS('Non-State'!CA:CA, 'Non-State'!C:C, $G22))</f>
        <v>0</v>
      </c>
      <c r="Q22" s="37">
        <f>IF(OR(G22="", G22="No Results"),  "", SUMIFS('Non-State'!CB:CB, 'Non-State'!C:C, $G22))</f>
        <v>0</v>
      </c>
    </row>
    <row r="23" spans="2:17" ht="15.75" thickBot="1" x14ac:dyDescent="0.3">
      <c r="B23" s="666"/>
      <c r="C23" s="39" t="s">
        <v>35</v>
      </c>
      <c r="D23" s="40" t="s">
        <v>12</v>
      </c>
      <c r="F23" s="66">
        <f t="shared" si="3"/>
        <v>7</v>
      </c>
      <c r="G23" s="66" t="str">
        <f>IF(OR(F23="", F23="No Results"), "", INDEX(State!$D:$D, MATCH($F23, State!$AG:$AG, 0)))</f>
        <v>112751605</v>
      </c>
      <c r="H23" s="66" t="str">
        <f>IF(OR(F23="", F23="No Results"), "", INDEX(State!$E:$E, MATCH($G23, State!$D:$D, 0)))</f>
        <v>1720094550</v>
      </c>
      <c r="I23" s="67" t="str">
        <f>IF(OR(F23="", F23="No Results"), "", INDEX(State!$F:$F, MATCH($G23, State!$D:$D, 0)))</f>
        <v>Texas Hhsc El Paso Psychiatric Center</v>
      </c>
      <c r="J23" s="37">
        <f>IF(OR(F23="", F23="No Results"),  "", SUMIFS(State!$S:$S, State!$D:$D, $G23))</f>
        <v>11537452.316250999</v>
      </c>
      <c r="K23" s="37">
        <f>IF(OR(F23="", F23="No Results"),  "", SUMIFS(State!$W:$W, State!$D:$D, $G23))</f>
        <v>0</v>
      </c>
      <c r="L23" s="37">
        <f>IF(OR(F23="", F23="No Results"), "", SUMIFS(State!$Y:$Y, State!$D:$D, $G23))</f>
        <v>11537452.32</v>
      </c>
      <c r="M23" s="37">
        <f>IF(OR(F23="", F23="No Results"),  "", SUMIFS(State!$U:$U, State!$D:$D, $G23))</f>
        <v>4053107</v>
      </c>
      <c r="N23" s="37">
        <f>IF(OR(F23="", F23="No Results"),  "", SUMIFS(State!$X:$X, State!$D:$D, $G23))</f>
        <v>0</v>
      </c>
      <c r="O23" s="37">
        <f>IF(OR(F23="", F23="No Results"),  "", SUMIFS(State!$Z:$Z, State!$D:$D, $G23))</f>
        <v>4053107</v>
      </c>
      <c r="P23" s="37">
        <f>IF(OR(F23="", F23="No Results"),  "", SUMIFS('Non-State'!CA:CA, 'Non-State'!C:C, $G23))</f>
        <v>0</v>
      </c>
      <c r="Q23" s="37">
        <f>IF(OR(G23="", G23="No Results"),  "", SUMIFS('Non-State'!CB:CB, 'Non-State'!C:C, $G23))</f>
        <v>0</v>
      </c>
    </row>
    <row r="24" spans="2:17" ht="15.75" thickBot="1" x14ac:dyDescent="0.3">
      <c r="B24" s="46"/>
      <c r="C24" s="47"/>
      <c r="D24" s="68"/>
      <c r="F24" s="66">
        <f t="shared" si="3"/>
        <v>8</v>
      </c>
      <c r="G24" s="66" t="str">
        <f>IF(OR(F24="", F24="No Results"), "", INDEX(State!$D:$D, MATCH($F24, State!$AG:$AG, 0)))</f>
        <v>127278304</v>
      </c>
      <c r="H24" s="66" t="str">
        <f>IF(OR(F24="", F24="No Results"), "", INDEX(State!$E:$E, MATCH($G24, State!$D:$D, 0)))</f>
        <v>1417941295</v>
      </c>
      <c r="I24" s="67" t="str">
        <f>IF(OR(F24="", F24="No Results"), "", INDEX(State!$F:$F, MATCH($G24, State!$D:$D, 0)))</f>
        <v>Ut Health North Campus Tyler</v>
      </c>
      <c r="J24" s="37">
        <f>IF(OR(F24="", F24="No Results"),  "", SUMIFS(State!$S:$S, State!$D:$D, $G24))</f>
        <v>10674201</v>
      </c>
      <c r="K24" s="37">
        <f>IF(OR(F24="", F24="No Results"),  "", SUMIFS(State!$W:$W, State!$D:$D, $G24))</f>
        <v>0</v>
      </c>
      <c r="L24" s="37">
        <f>IF(OR(F24="", F24="No Results"), "", SUMIFS(State!$Y:$Y, State!$D:$D, $G24))</f>
        <v>10674201</v>
      </c>
      <c r="M24" s="37">
        <f>IF(OR(F24="", F24="No Results"),  "", SUMIFS(State!$U:$U, State!$D:$D, $G24))</f>
        <v>3749847</v>
      </c>
      <c r="N24" s="37">
        <f>IF(OR(F24="", F24="No Results"),  "", SUMIFS(State!$X:$X, State!$D:$D, $G24))</f>
        <v>0</v>
      </c>
      <c r="O24" s="37">
        <f>IF(OR(F24="", F24="No Results"),  "", SUMIFS(State!$Z:$Z, State!$D:$D, $G24))</f>
        <v>3749847</v>
      </c>
      <c r="P24" s="37">
        <f>IF(OR(F24="", F24="No Results"),  "", SUMIFS('Non-State'!CA:CA, 'Non-State'!C:C, $G24))</f>
        <v>0</v>
      </c>
      <c r="Q24" s="37">
        <f>IF(OR(G24="", G24="No Results"),  "", SUMIFS('Non-State'!CB:CB, 'Non-State'!C:C, $G24))</f>
        <v>0</v>
      </c>
    </row>
    <row r="25" spans="2:17" x14ac:dyDescent="0.25">
      <c r="B25" s="665" t="s">
        <v>39</v>
      </c>
      <c r="C25" s="25" t="s">
        <v>37</v>
      </c>
      <c r="D25" s="26" t="s">
        <v>12</v>
      </c>
      <c r="F25" s="66">
        <f t="shared" si="3"/>
        <v>9</v>
      </c>
      <c r="G25" s="66" t="str">
        <f>IF(OR(F25="", F25="No Results"), "", INDEX(State!$D:$D, MATCH($F25, State!$AG:$AG, 0)))</f>
        <v>137918204</v>
      </c>
      <c r="H25" s="66" t="str">
        <f>IF(OR(F25="", F25="No Results"), "", INDEX(State!$E:$E, MATCH($G25, State!$D:$D, 0)))</f>
        <v>1881600682</v>
      </c>
      <c r="I25" s="67" t="str">
        <f>IF(OR(F25="", F25="No Results"), "", INDEX(State!$F:$F, MATCH($G25, State!$D:$D, 0)))</f>
        <v>Texas Hhsc Big Spring State Hospital</v>
      </c>
      <c r="J25" s="37">
        <f>IF(OR(F25="", F25="No Results"),  "", SUMIFS(State!$S:$S, State!$D:$D, $G25))</f>
        <v>24878567.906571291</v>
      </c>
      <c r="K25" s="37">
        <f>IF(OR(F25="", F25="No Results"),  "", SUMIFS(State!$W:$W, State!$D:$D, $G25))</f>
        <v>0</v>
      </c>
      <c r="L25" s="37">
        <f>IF(OR(F25="", F25="No Results"), "", SUMIFS(State!$Y:$Y, State!$D:$D, $G25))</f>
        <v>24878567.91</v>
      </c>
      <c r="M25" s="37">
        <f>IF(OR(F25="", F25="No Results"),  "", SUMIFS(State!$U:$U, State!$D:$D, $G25))</f>
        <v>8739841</v>
      </c>
      <c r="N25" s="37">
        <f>IF(OR(F25="", F25="No Results"),  "", SUMIFS(State!$X:$X, State!$D:$D, $G25))</f>
        <v>0</v>
      </c>
      <c r="O25" s="37">
        <f>IF(OR(F25="", F25="No Results"),  "", SUMIFS(State!$Z:$Z, State!$D:$D, $G25))</f>
        <v>8739841</v>
      </c>
      <c r="P25" s="37">
        <f>IF(OR(F25="", F25="No Results"),  "", SUMIFS('Non-State'!CA:CA, 'Non-State'!C:C, $G25))</f>
        <v>0</v>
      </c>
      <c r="Q25" s="37">
        <f>IF(OR(G25="", G25="No Results"),  "", SUMIFS('Non-State'!CB:CB, 'Non-State'!C:C, $G25))</f>
        <v>0</v>
      </c>
    </row>
    <row r="26" spans="2:17" ht="15.75" thickBot="1" x14ac:dyDescent="0.3">
      <c r="B26" s="666"/>
      <c r="C26" s="39" t="s">
        <v>35</v>
      </c>
      <c r="D26" s="40" t="s">
        <v>12</v>
      </c>
      <c r="F26" s="66">
        <f t="shared" si="3"/>
        <v>10</v>
      </c>
      <c r="G26" s="66" t="str">
        <f>IF(OR(F26="", F26="No Results"), "", INDEX(State!$D:$D, MATCH($F26, State!$AG:$AG, 0)))</f>
        <v>137919003</v>
      </c>
      <c r="H26" s="66" t="str">
        <f>IF(OR(F26="", F26="No Results"), "", INDEX(State!$E:$E, MATCH($G26, State!$D:$D, 0)))</f>
        <v>1992713119</v>
      </c>
      <c r="I26" s="67" t="str">
        <f>IF(OR(F26="", F26="No Results"), "", INDEX(State!$F:$F, MATCH($G26, State!$D:$D, 0)))</f>
        <v>Texas Hhsc Terrell State Hospital</v>
      </c>
      <c r="J26" s="37">
        <f>IF(OR(F26="", F26="No Results"),  "", SUMIFS(State!$S:$S, State!$D:$D, $G26))</f>
        <v>33631756.586906232</v>
      </c>
      <c r="K26" s="37">
        <f>IF(OR(F26="", F26="No Results"),  "", SUMIFS(State!$W:$W, State!$D:$D, $G26))</f>
        <v>0</v>
      </c>
      <c r="L26" s="37">
        <f>IF(OR(F26="", F26="No Results"), "", SUMIFS(State!$Y:$Y, State!$D:$D, $G26))</f>
        <v>33631756.590000004</v>
      </c>
      <c r="M26" s="37">
        <f>IF(OR(F26="", F26="No Results"),  "", SUMIFS(State!$U:$U, State!$D:$D, $G26))</f>
        <v>11814836</v>
      </c>
      <c r="N26" s="37">
        <f>IF(OR(F26="", F26="No Results"),  "", SUMIFS(State!$X:$X, State!$D:$D, $G26))</f>
        <v>0</v>
      </c>
      <c r="O26" s="37">
        <f>IF(OR(F26="", F26="No Results"),  "", SUMIFS(State!$Z:$Z, State!$D:$D, $G26))</f>
        <v>11814836</v>
      </c>
      <c r="P26" s="37">
        <f>IF(OR(F26="", F26="No Results"),  "", SUMIFS('Non-State'!CA:CA, 'Non-State'!C:C, $G26))</f>
        <v>0</v>
      </c>
      <c r="Q26" s="37">
        <f>IF(OR(G26="", G26="No Results"),  "", SUMIFS('Non-State'!CB:CB, 'Non-State'!C:C, $G26))</f>
        <v>0</v>
      </c>
    </row>
    <row r="27" spans="2:17" x14ac:dyDescent="0.25">
      <c r="F27" s="66">
        <f t="shared" si="3"/>
        <v>11</v>
      </c>
      <c r="G27" s="66" t="str">
        <f>IF(OR(F27="", F27="No Results"), "", INDEX(State!$D:$D, MATCH($F27, State!$AG:$AG, 0)))</f>
        <v>138706004</v>
      </c>
      <c r="H27" s="66" t="str">
        <f>IF(OR(F27="", F27="No Results"), "", INDEX(State!$E:$E, MATCH($G27, State!$D:$D, 0)))</f>
        <v>1972511921</v>
      </c>
      <c r="I27" s="67" t="str">
        <f>IF(OR(F27="", F27="No Results"), "", INDEX(State!$F:$F, MATCH($G27, State!$D:$D, 0)))</f>
        <v>Texas Hhsc San Antonio State Hospital</v>
      </c>
      <c r="J27" s="37">
        <f>IF(OR(F27="", F27="No Results"),  "", SUMIFS(State!$S:$S, State!$D:$D, $G27))</f>
        <v>39956556.393551454</v>
      </c>
      <c r="K27" s="37">
        <f>IF(OR(F27="", F27="No Results"),  "", SUMIFS(State!$W:$W, State!$D:$D, $G27))</f>
        <v>0</v>
      </c>
      <c r="L27" s="37">
        <f>IF(OR(F27="", F27="No Results"), "", SUMIFS(State!$Y:$Y, State!$D:$D, $G27))</f>
        <v>39956556.390000001</v>
      </c>
      <c r="M27" s="37">
        <f>IF(OR(F27="", F27="No Results"),  "", SUMIFS(State!$U:$U, State!$D:$D, $G27))</f>
        <v>14036738</v>
      </c>
      <c r="N27" s="37">
        <f>IF(OR(F27="", F27="No Results"),  "", SUMIFS(State!$X:$X, State!$D:$D, $G27))</f>
        <v>0</v>
      </c>
      <c r="O27" s="37">
        <f>IF(OR(F27="", F27="No Results"),  "", SUMIFS(State!$Z:$Z, State!$D:$D, $G27))</f>
        <v>14036738</v>
      </c>
      <c r="P27" s="37">
        <f>IF(OR(F27="", F27="No Results"),  "", SUMIFS('Non-State'!CA:CA, 'Non-State'!C:C, $G27))</f>
        <v>0</v>
      </c>
      <c r="Q27" s="37">
        <f>IF(OR(G27="", G27="No Results"),  "", SUMIFS('Non-State'!CB:CB, 'Non-State'!C:C, $G27))</f>
        <v>0</v>
      </c>
    </row>
    <row r="28" spans="2:17" x14ac:dyDescent="0.25">
      <c r="B28" s="69"/>
      <c r="D28" s="14"/>
      <c r="F28" s="66">
        <f t="shared" si="3"/>
        <v>12</v>
      </c>
      <c r="G28" s="66" t="str">
        <f>IF(OR(F28="", F28="No Results"), "", INDEX(State!$D:$D, MATCH($F28, State!$AG:$AG, 0)))</f>
        <v>175287501</v>
      </c>
      <c r="H28" s="66" t="str">
        <f>IF(OR(F28="", F28="No Results"), "", INDEX(State!$E:$E, MATCH($G28, State!$D:$D, 0)))</f>
        <v>1285798918</v>
      </c>
      <c r="I28" s="67" t="str">
        <f>IF(OR(F28="", F28="No Results"), "", INDEX(State!$F:$F, MATCH($G28, State!$D:$D, 0)))</f>
        <v>Ut Southwestern University Hospital - Clements</v>
      </c>
      <c r="J28" s="37">
        <f>IF(OR(F28="", F28="No Results"),  "", SUMIFS(State!$S:$S, State!$D:$D, $G28))</f>
        <v>31649250</v>
      </c>
      <c r="K28" s="37">
        <f>IF(OR(F28="", F28="No Results"),  "", SUMIFS(State!$W:$W, State!$D:$D, $G28))</f>
        <v>0</v>
      </c>
      <c r="L28" s="37">
        <f>IF(OR(F28="", F28="No Results"), "", SUMIFS(State!$Y:$Y, State!$D:$D, $G28))</f>
        <v>31649250</v>
      </c>
      <c r="M28" s="37">
        <f>IF(OR(F28="", F28="No Results"),  "", SUMIFS(State!$U:$U, State!$D:$D, $G28))</f>
        <v>11118382</v>
      </c>
      <c r="N28" s="37">
        <f>IF(OR(F28="", F28="No Results"),  "", SUMIFS(State!$X:$X, State!$D:$D, $G28))</f>
        <v>0</v>
      </c>
      <c r="O28" s="37">
        <f>IF(OR(F28="", F28="No Results"),  "", SUMIFS(State!$Z:$Z, State!$D:$D, $G28))</f>
        <v>11118382</v>
      </c>
      <c r="P28" s="37">
        <f>IF(OR(F28="", F28="No Results"),  "", SUMIFS('Non-State'!CA:CA, 'Non-State'!C:C, $G28))</f>
        <v>0</v>
      </c>
      <c r="Q28" s="37">
        <f>IF(OR(G28="", G28="No Results"),  "", SUMIFS('Non-State'!CB:CB, 'Non-State'!C:C, $G28))</f>
        <v>0</v>
      </c>
    </row>
    <row r="29" spans="2:17" x14ac:dyDescent="0.25">
      <c r="D29" s="14"/>
      <c r="F29" s="66" t="str">
        <f t="shared" si="3"/>
        <v/>
      </c>
      <c r="G29" s="66" t="str">
        <f>IF(OR(F29="", F29="No Results"), "", INDEX(State!$D:$D, MATCH($F29, State!$AG:$AG, 0)))</f>
        <v/>
      </c>
      <c r="H29" s="66" t="str">
        <f>IF(OR(F29="", F29="No Results"), "", INDEX(State!$E:$E, MATCH($G29, State!$D:$D, 0)))</f>
        <v/>
      </c>
      <c r="I29" s="67" t="str">
        <f>IF(OR(F29="", F29="No Results"), "", INDEX(State!$F:$F, MATCH($G29, State!$D:$D, 0)))</f>
        <v/>
      </c>
      <c r="J29" s="37" t="str">
        <f>IF(OR(F29="", F29="No Results"),  "", SUMIFS(State!$S:$S, State!$D:$D, $G29))</f>
        <v/>
      </c>
      <c r="K29" s="37" t="str">
        <f>IF(OR(F29="", F29="No Results"),  "", SUMIFS(State!$W:$W, State!$D:$D, $G29))</f>
        <v/>
      </c>
      <c r="L29" s="37" t="str">
        <f>IF(OR(F29="", F29="No Results"), "", SUMIFS(State!$Y:$Y, State!$D:$D, $G29))</f>
        <v/>
      </c>
      <c r="M29" s="37" t="str">
        <f>IF(OR(F29="", F29="No Results"),  "", SUMIFS(State!$U:$U, State!$D:$D, $G29))</f>
        <v/>
      </c>
      <c r="N29" s="37" t="str">
        <f>IF(OR(F29="", F29="No Results"),  "", SUMIFS(State!$X:$X, State!$D:$D, $G29))</f>
        <v/>
      </c>
      <c r="O29" s="37" t="str">
        <f>IF(OR(F29="", F29="No Results"),  "", SUMIFS(State!$Z:$Z, State!$D:$D, $G29))</f>
        <v/>
      </c>
      <c r="P29" s="37" t="str">
        <f>IF(OR(F29="", F29="No Results"),  "", SUMIFS('Non-State'!CA:CA, 'Non-State'!C:C, $G29))</f>
        <v/>
      </c>
      <c r="Q29" s="37" t="str">
        <f>IF(OR(G29="", G29="No Results"),  "", SUMIFS('Non-State'!CB:CB, 'Non-State'!C:C, $G29))</f>
        <v/>
      </c>
    </row>
    <row r="30" spans="2:17" x14ac:dyDescent="0.25">
      <c r="D30" s="14"/>
      <c r="F30" s="66" t="str">
        <f t="shared" si="3"/>
        <v/>
      </c>
      <c r="G30" s="66" t="str">
        <f>IF(OR(F30="", F30="No Results"), "", INDEX(State!$D:$D, MATCH($F30, State!$AG:$AG, 0)))</f>
        <v/>
      </c>
      <c r="H30" s="66" t="str">
        <f>IF(OR(F30="", F30="No Results"), "", INDEX(State!$E:$E, MATCH($G30, State!$D:$D, 0)))</f>
        <v/>
      </c>
      <c r="I30" s="67" t="str">
        <f>IF(OR(F30="", F30="No Results"), "", INDEX(State!$F:$F, MATCH($G30, State!$D:$D, 0)))</f>
        <v/>
      </c>
      <c r="J30" s="37" t="str">
        <f>IF(OR(F30="", F30="No Results"),  "", SUMIFS(State!$S:$S, State!$D:$D, $G30))</f>
        <v/>
      </c>
      <c r="K30" s="37" t="str">
        <f>IF(OR(F30="", F30="No Results"),  "", SUMIFS(State!$W:$W, State!$D:$D, $G30))</f>
        <v/>
      </c>
      <c r="L30" s="37" t="str">
        <f>IF(OR(F30="", F30="No Results"), "", SUMIFS(State!$Y:$Y, State!$D:$D, $G30))</f>
        <v/>
      </c>
      <c r="M30" s="37" t="str">
        <f>IF(OR(F30="", F30="No Results"),  "", SUMIFS(State!$U:$U, State!$D:$D, $G30))</f>
        <v/>
      </c>
      <c r="N30" s="37" t="str">
        <f>IF(OR(F30="", F30="No Results"),  "", SUMIFS(State!$X:$X, State!$D:$D, $G30))</f>
        <v/>
      </c>
      <c r="O30" s="37" t="str">
        <f>IF(OR(F30="", F30="No Results"),  "", SUMIFS(State!$Z:$Z, State!$D:$D, $G30))</f>
        <v/>
      </c>
      <c r="P30" s="37" t="str">
        <f>IF(OR(F30="", F30="No Results"),  "", SUMIFS('Non-State'!CA:CA, 'Non-State'!C:C, $G30))</f>
        <v/>
      </c>
      <c r="Q30" s="37" t="str">
        <f>IF(OR(G30="", G30="No Results"),  "", SUMIFS('Non-State'!CB:CB, 'Non-State'!C:C, $G30))</f>
        <v/>
      </c>
    </row>
    <row r="31" spans="2:17" x14ac:dyDescent="0.25">
      <c r="D31" s="14"/>
      <c r="F31" s="66" t="str">
        <f t="shared" si="3"/>
        <v/>
      </c>
      <c r="G31" s="66" t="str">
        <f>IF(OR(F31="", F31="No Results"), "", INDEX(State!$D:$D, MATCH($F31, State!$AG:$AG, 0)))</f>
        <v/>
      </c>
      <c r="H31" s="66" t="str">
        <f>IF(OR(F31="", F31="No Results"), "", INDEX(State!$E:$E, MATCH($G31, State!$D:$D, 0)))</f>
        <v/>
      </c>
      <c r="I31" s="67" t="str">
        <f>IF(OR(F31="", F31="No Results"), "", INDEX(State!$F:$F, MATCH($G31, State!$D:$D, 0)))</f>
        <v/>
      </c>
      <c r="J31" s="37" t="str">
        <f>IF(OR(F31="", F31="No Results"),  "", SUMIFS(State!$S:$S, State!$D:$D, $G31))</f>
        <v/>
      </c>
      <c r="K31" s="37" t="str">
        <f>IF(OR(F31="", F31="No Results"),  "", SUMIFS(State!$W:$W, State!$D:$D, $G31))</f>
        <v/>
      </c>
      <c r="L31" s="37" t="str">
        <f>IF(OR(F31="", F31="No Results"), "", SUMIFS(State!$Y:$Y, State!$D:$D, $G31))</f>
        <v/>
      </c>
      <c r="M31" s="37" t="str">
        <f>IF(OR(F31="", F31="No Results"),  "", SUMIFS(State!$U:$U, State!$D:$D, $G31))</f>
        <v/>
      </c>
      <c r="N31" s="37" t="str">
        <f>IF(OR(F31="", F31="No Results"),  "", SUMIFS(State!$X:$X, State!$D:$D, $G31))</f>
        <v/>
      </c>
      <c r="O31" s="37" t="str">
        <f>IF(OR(F31="", F31="No Results"),  "", SUMIFS(State!$Z:$Z, State!$D:$D, $G31))</f>
        <v/>
      </c>
      <c r="P31" s="37" t="str">
        <f>IF(OR(F31="", F31="No Results"),  "", SUMIFS('Non-State'!CA:CA, 'Non-State'!C:C, $G31))</f>
        <v/>
      </c>
      <c r="Q31" s="37" t="str">
        <f>IF(OR(G31="", G31="No Results"),  "", SUMIFS('Non-State'!CB:CB, 'Non-State'!C:C, $G31))</f>
        <v/>
      </c>
    </row>
    <row r="32" spans="2:17" x14ac:dyDescent="0.25">
      <c r="D32" s="14"/>
      <c r="F32" s="70" t="str">
        <f t="shared" si="3"/>
        <v/>
      </c>
      <c r="G32" s="70" t="str">
        <f>IF(OR(F32="", F32="No Results"), "", INDEX(State!$D:$D, MATCH($F32, State!$AG:$AG, 0)))</f>
        <v/>
      </c>
      <c r="H32" s="70" t="str">
        <f>IF(OR(F32="", F32="No Results"), "", INDEX(State!$E:$E, MATCH($G32, State!$D:$D, 0)))</f>
        <v/>
      </c>
      <c r="I32" s="71" t="str">
        <f>IF(OR(F32="", F32="No Results"), "", INDEX(State!$F:$F, MATCH($G32, State!$D:$D, 0)))</f>
        <v/>
      </c>
      <c r="J32" s="53" t="str">
        <f>IF(OR(F32="", F32="No Results"),  "", SUMIFS(State!$S:$S, State!$D:$D, $G32))</f>
        <v/>
      </c>
      <c r="K32" s="53" t="str">
        <f>IF(OR(F32="", F32="No Results"),  "", SUMIFS(State!$W:$W, State!$D:$D, $G32))</f>
        <v/>
      </c>
      <c r="L32" s="53" t="str">
        <f>IF(OR(F32="", F32="No Results"), "", SUMIFS(State!$Y:$Y, State!$D:$D, $G32))</f>
        <v/>
      </c>
      <c r="M32" s="53" t="str">
        <f>IF(OR(F32="", F32="No Results"),  "", SUMIFS(State!$U:$U, State!$D:$D, $G32))</f>
        <v/>
      </c>
      <c r="N32" s="53" t="str">
        <f>IF(OR(F32="", F32="No Results"),  "", SUMIFS(State!$X:$X, State!$D:$D, $G32))</f>
        <v/>
      </c>
      <c r="O32" s="53" t="str">
        <f>IF(OR(F32="", F32="No Results"),  "", SUMIFS(State!$Z:$Z, State!$D:$D, $G32))</f>
        <v/>
      </c>
      <c r="P32" s="53" t="str">
        <f>IF(OR(F32="", F32="No Results"),  "", SUMIFS('Non-State'!CA:CA, 'Non-State'!C:C, $G32))</f>
        <v/>
      </c>
      <c r="Q32" s="53" t="str">
        <f>IF(OR(G32="", G32="No Results"),  "", SUMIFS('Non-State'!CB:CB, 'Non-State'!C:C, $G32))</f>
        <v/>
      </c>
    </row>
    <row r="33" spans="6:17" x14ac:dyDescent="0.25">
      <c r="F33" s="72"/>
      <c r="G33" s="72"/>
      <c r="H33" s="72"/>
      <c r="J33" s="73"/>
      <c r="K33" s="73"/>
      <c r="L33" s="73"/>
      <c r="M33" s="73"/>
      <c r="N33" s="73"/>
      <c r="O33" s="73"/>
    </row>
    <row r="34" spans="6:17" ht="18.75" x14ac:dyDescent="0.3">
      <c r="F34" s="54" t="s">
        <v>40</v>
      </c>
      <c r="G34" s="17"/>
      <c r="H34" s="17"/>
      <c r="I34" s="17"/>
      <c r="J34" s="17"/>
      <c r="K34" s="17"/>
      <c r="L34" s="17"/>
      <c r="M34" s="17"/>
      <c r="N34" s="17"/>
      <c r="O34" s="17"/>
      <c r="P34" s="17"/>
      <c r="Q34" s="17"/>
    </row>
    <row r="35" spans="6:17" ht="15.75" x14ac:dyDescent="0.25">
      <c r="F35" s="57" t="s">
        <v>29</v>
      </c>
      <c r="G35" s="58"/>
      <c r="H35" s="58"/>
      <c r="I35" s="59">
        <f>MAX('Non-State'!CN:CN)</f>
        <v>149</v>
      </c>
      <c r="J35" s="60"/>
      <c r="K35" s="60"/>
      <c r="L35" s="60"/>
      <c r="M35" s="60"/>
      <c r="N35" s="60"/>
      <c r="O35" s="60"/>
      <c r="P35" s="60"/>
      <c r="Q35" s="60"/>
    </row>
    <row r="36" spans="6:17" x14ac:dyDescent="0.25">
      <c r="F36" s="21"/>
      <c r="G36" s="61"/>
      <c r="H36" s="61"/>
      <c r="I36" s="21"/>
      <c r="J36" s="23" t="s">
        <v>9</v>
      </c>
      <c r="K36" s="23"/>
      <c r="L36" s="23"/>
      <c r="M36" s="23"/>
      <c r="N36" s="23"/>
      <c r="O36" s="23"/>
      <c r="P36" s="23"/>
      <c r="Q36" s="23"/>
    </row>
    <row r="37" spans="6:17" ht="60" x14ac:dyDescent="0.25">
      <c r="F37" s="30" t="s">
        <v>32</v>
      </c>
      <c r="G37" s="30" t="s">
        <v>41</v>
      </c>
      <c r="H37" s="64" t="s">
        <v>42</v>
      </c>
      <c r="I37" s="30" t="s">
        <v>33</v>
      </c>
      <c r="J37" s="30" t="str">
        <f>Year&amp;" Total DSH Payment (adj. for recoupments and haircut)"</f>
        <v>2023 Total DSH Payment (adj. for recoupments and haircut)</v>
      </c>
      <c r="K37" s="30" t="s">
        <v>14</v>
      </c>
      <c r="L37" s="30" t="s">
        <v>15</v>
      </c>
      <c r="M37" s="30" t="s">
        <v>16</v>
      </c>
      <c r="N37" s="30" t="s">
        <v>17</v>
      </c>
      <c r="O37" s="30" t="str">
        <f>Year&amp;" Final DSH IGT"</f>
        <v>2023 Final DSH IGT</v>
      </c>
      <c r="P37" s="30" t="s">
        <v>18</v>
      </c>
      <c r="Q37" s="30" t="s">
        <v>19</v>
      </c>
    </row>
    <row r="38" spans="6:17" x14ac:dyDescent="0.25">
      <c r="F38" s="65">
        <f>IF(I35&gt;0,1,"No Results")</f>
        <v>1</v>
      </c>
      <c r="G38" s="66" t="str">
        <f>IF(OR(F38="", F38="No Results"),  "", INDEX('Non-State'!C:C, MATCH($F38, 'Non-State'!B:B, 0)))</f>
        <v>020811801</v>
      </c>
      <c r="H38" s="66" t="str">
        <f>IF(OR(F38="", F38="No Results"), "", INDEX('Non-State'!E:E, MATCH($G38, 'Non-State'!$C:$C, 0)))</f>
        <v>1447228747</v>
      </c>
      <c r="I38" s="74" t="str">
        <f>IF(OR(G38="", G38="No Results"), "", INDEX('Non-State'!F:F, MATCH($G38, 'Non-State'!$C:$C, 0)))</f>
        <v>CHRISTUS Spohn Hospital Beeville</v>
      </c>
      <c r="J38" s="37">
        <f>IF(G38="", "", SUMIFS('Non-State'!CH:CH, 'Non-State'!C:C, $G38))</f>
        <v>4714842.71</v>
      </c>
      <c r="K38" s="37">
        <f>IF(G38="", "", SUMIFS('Non-State'!BG:BG, 'Non-State'!$C:$C, $G38))</f>
        <v>0</v>
      </c>
      <c r="L38" s="37">
        <f>IF(G38="", "",  SUMIFS('Non-State'!BL:BL, 'Non-State'!$C:$C, $G38)+SUMIFS('Non-State'!CA:CA, 'Non-State'!$C:$C, $G38))</f>
        <v>3738941.95</v>
      </c>
      <c r="M38" s="37">
        <f>IF(G38="", "", SUMIFS('Non-State'!BD:BD, 'Non-State'!$C:$C, $G38))</f>
        <v>0</v>
      </c>
      <c r="N38" s="37">
        <f>IF(G38="", "", SUMIFS('Non-State'!BH:BH, 'Non-State'!$C:$C, $G38))</f>
        <v>0</v>
      </c>
      <c r="O38" s="37">
        <f>IF(G38="","",SUMIFS('Non-State'!BO:BO,'Non-State'!$C:$C,$G38)-SUMIFS('Non-State'!BN:BN,'Non-State'!$C:$C,$G38))</f>
        <v>0</v>
      </c>
      <c r="P38" s="37">
        <f>IF(OR(F38="", F38="No Results"),  "", SUMIFS('Non-State'!CF:CF, 'Non-State'!C:C, $G38)+SUMIFS('Non-State'!CG:CG, 'Non-State'!C:C, $G38))</f>
        <v>975900.76</v>
      </c>
      <c r="Q38" s="37">
        <f>IF(OR(G38="", G38="No Results"),  "", SUMIFS('Non-State'!CG:CG, 'Non-State'!C:C, $G38))</f>
        <v>0</v>
      </c>
    </row>
    <row r="39" spans="6:17" x14ac:dyDescent="0.25">
      <c r="F39" s="66">
        <f t="shared" ref="F39:F102" si="4">IF(F38&lt;$I$35, F38+1, "")</f>
        <v>2</v>
      </c>
      <c r="G39" s="66" t="str">
        <f>IF(OR(F39="", F39="No Results"),  "", INDEX('Non-State'!C:C, MATCH($F39, 'Non-State'!B:B, 0)))</f>
        <v>020817501</v>
      </c>
      <c r="H39" s="66" t="str">
        <f>IF(OR(F39="", F39="No Results"), "", INDEX('Non-State'!E:E, MATCH($G39, 'Non-State'!$C:$C, 0)))</f>
        <v>1174576698</v>
      </c>
      <c r="I39" s="67" t="str">
        <f>IF(OR(G39="", G39="No Results"), "", INDEX('Non-State'!F:F, MATCH($G39, 'Non-State'!$C:$C, 0)))</f>
        <v>HCA Houston Healthcare Southeast</v>
      </c>
      <c r="J39" s="37">
        <f>IF(G39="", "", SUMIFS('Non-State'!CH:CH, 'Non-State'!C:C, $G39))</f>
        <v>6000000</v>
      </c>
      <c r="K39" s="37">
        <f>IF(G39="", "", SUMIFS('Non-State'!BG:BG, 'Non-State'!$C:$C, $G39))</f>
        <v>0</v>
      </c>
      <c r="L39" s="37">
        <f>IF(G39="", "",  SUMIFS('Non-State'!BL:BL, 'Non-State'!$C:$C, $G39)+SUMIFS('Non-State'!CA:CA, 'Non-State'!$C:$C, $G39))</f>
        <v>6000000</v>
      </c>
      <c r="M39" s="37">
        <f>IF(G39="", "", SUMIFS('Non-State'!BD:BD, 'Non-State'!$C:$C, $G39))</f>
        <v>0</v>
      </c>
      <c r="N39" s="37">
        <f>IF(G39="", "", SUMIFS('Non-State'!BH:BH, 'Non-State'!$C:$C, $G39))</f>
        <v>0</v>
      </c>
      <c r="O39" s="37">
        <f>IF(G39="","",SUMIFS('Non-State'!BO:BO,'Non-State'!$C:$C,$G39)-SUMIFS('Non-State'!BN:BN,'Non-State'!$C:$C,$G39))</f>
        <v>0</v>
      </c>
      <c r="P39" s="37">
        <f>IF(OR(F39="", F39="No Results"),  "", SUMIFS('Non-State'!CF:CF, 'Non-State'!C:C, $G39)+SUMIFS('Non-State'!CG:CG, 'Non-State'!C:C, $G39))</f>
        <v>0</v>
      </c>
      <c r="Q39" s="37">
        <f>IF(OR(G39="", G39="No Results"),  "", SUMIFS('Non-State'!CG:CG, 'Non-State'!C:C, $G39))</f>
        <v>0</v>
      </c>
    </row>
    <row r="40" spans="6:17" x14ac:dyDescent="0.25">
      <c r="F40" s="66">
        <f t="shared" si="4"/>
        <v>3</v>
      </c>
      <c r="G40" s="66" t="str">
        <f>IF(OR(F40="", F40="No Results"),  "", INDEX('Non-State'!C:C, MATCH($F40, 'Non-State'!B:B, 0)))</f>
        <v>020834001</v>
      </c>
      <c r="H40" s="66" t="str">
        <f>IF(OR(F40="", F40="No Results"), "", INDEX('Non-State'!E:E, MATCH($G40, 'Non-State'!$C:$C, 0)))</f>
        <v>1730132234</v>
      </c>
      <c r="I40" s="67" t="str">
        <f>IF(OR(G40="", G40="No Results"), "", INDEX('Non-State'!F:F, MATCH($G40, 'Non-State'!$C:$C, 0)))</f>
        <v>Memorial Hermann Hospital System</v>
      </c>
      <c r="J40" s="37">
        <f>IF(G40="", "", SUMIFS('Non-State'!CH:CH, 'Non-State'!C:C, $G40))</f>
        <v>22144721.309999999</v>
      </c>
      <c r="K40" s="37">
        <f>IF(G40="", "", SUMIFS('Non-State'!BG:BG, 'Non-State'!$C:$C, $G40))</f>
        <v>0</v>
      </c>
      <c r="L40" s="37">
        <f>IF(G40="", "",  SUMIFS('Non-State'!BL:BL, 'Non-State'!$C:$C, $G40)+SUMIFS('Non-State'!CA:CA, 'Non-State'!$C:$C, $G40))</f>
        <v>22144721.309999999</v>
      </c>
      <c r="M40" s="37">
        <f>IF(G40="", "", SUMIFS('Non-State'!BD:BD, 'Non-State'!$C:$C, $G40))</f>
        <v>0</v>
      </c>
      <c r="N40" s="37">
        <f>IF(G40="", "", SUMIFS('Non-State'!BH:BH, 'Non-State'!$C:$C, $G40))</f>
        <v>0</v>
      </c>
      <c r="O40" s="37">
        <f>IF(G40="","",SUMIFS('Non-State'!BO:BO,'Non-State'!$C:$C,$G40)-SUMIFS('Non-State'!BN:BN,'Non-State'!$C:$C,$G40))</f>
        <v>0</v>
      </c>
      <c r="P40" s="37">
        <f>IF(OR(F40="", F40="No Results"),  "", SUMIFS('Non-State'!CF:CF, 'Non-State'!C:C, $G40)+SUMIFS('Non-State'!CG:CG, 'Non-State'!C:C, $G40))</f>
        <v>0</v>
      </c>
      <c r="Q40" s="37">
        <f>IF(OR(G40="", G40="No Results"),  "", SUMIFS('Non-State'!CG:CG, 'Non-State'!C:C, $G40))</f>
        <v>0</v>
      </c>
    </row>
    <row r="41" spans="6:17" x14ac:dyDescent="0.25">
      <c r="F41" s="66">
        <f>IF(F40&lt;$I$35, F40+1, "")</f>
        <v>4</v>
      </c>
      <c r="G41" s="66" t="str">
        <f>IF(OR(F41="", F41="No Results"),  "", INDEX('Non-State'!C:C, MATCH($F41, 'Non-State'!B:B, 0)))</f>
        <v>020841501</v>
      </c>
      <c r="H41" s="66" t="str">
        <f>IF(OR(F41="", F41="No Results"), "", INDEX('Non-State'!E:E, MATCH($G41, 'Non-State'!$C:$C, 0)))</f>
        <v>1962455816</v>
      </c>
      <c r="I41" s="67" t="str">
        <f>IF(OR(G41="", G41="No Results"), "", INDEX('Non-State'!F:F, MATCH($G41, 'Non-State'!$C:$C, 0)))</f>
        <v>HCA Houston Healthcare Conroe</v>
      </c>
      <c r="J41" s="37">
        <f>IF(G41="", "", SUMIFS('Non-State'!CH:CH, 'Non-State'!C:C, $G41))</f>
        <v>8000000</v>
      </c>
      <c r="K41" s="37">
        <f>IF(G41="", "", SUMIFS('Non-State'!BG:BG, 'Non-State'!$C:$C, $G41))</f>
        <v>0</v>
      </c>
      <c r="L41" s="37">
        <f>IF(G41="", "",  SUMIFS('Non-State'!BL:BL, 'Non-State'!$C:$C, $G41)+SUMIFS('Non-State'!CA:CA, 'Non-State'!$C:$C, $G41))</f>
        <v>8000000</v>
      </c>
      <c r="M41" s="37">
        <f>IF(G41="", "", SUMIFS('Non-State'!BD:BD, 'Non-State'!$C:$C, $G41))</f>
        <v>0</v>
      </c>
      <c r="N41" s="37">
        <f>IF(G41="", "", SUMIFS('Non-State'!BH:BH, 'Non-State'!$C:$C, $G41))</f>
        <v>0</v>
      </c>
      <c r="O41" s="37">
        <f>IF(G41="","",SUMIFS('Non-State'!BO:BO,'Non-State'!$C:$C,$G41)-SUMIFS('Non-State'!BN:BN,'Non-State'!$C:$C,$G41))</f>
        <v>0</v>
      </c>
      <c r="P41" s="37">
        <f>IF(OR(F41="", F41="No Results"),  "", SUMIFS('Non-State'!CF:CF, 'Non-State'!C:C, $G41)+SUMIFS('Non-State'!CG:CG, 'Non-State'!C:C, $G41))</f>
        <v>0</v>
      </c>
      <c r="Q41" s="37">
        <f>IF(OR(G41="", G41="No Results"),  "", SUMIFS('Non-State'!CG:CG, 'Non-State'!C:C, $G41))</f>
        <v>0</v>
      </c>
    </row>
    <row r="42" spans="6:17" x14ac:dyDescent="0.25">
      <c r="F42" s="66">
        <f t="shared" si="4"/>
        <v>5</v>
      </c>
      <c r="G42" s="66" t="str">
        <f>IF(OR(F42="", F42="No Results"),  "", INDEX('Non-State'!C:C, MATCH($F42, 'Non-State'!B:B, 0)))</f>
        <v>020908201</v>
      </c>
      <c r="H42" s="66" t="str">
        <f>IF(OR(F42="", F42="No Results"), "", INDEX('Non-State'!E:E, MATCH($G42, 'Non-State'!$C:$C, 0)))</f>
        <v>1396779948</v>
      </c>
      <c r="I42" s="67" t="str">
        <f>IF(OR(G42="", G42="No Results"), "", INDEX('Non-State'!F:F, MATCH($G42, 'Non-State'!$C:$C, 0)))</f>
        <v>Texas Health Dallas</v>
      </c>
      <c r="J42" s="37">
        <f>IF(G42="", "", SUMIFS('Non-State'!CH:CH, 'Non-State'!C:C, $G42))</f>
        <v>13622305.59</v>
      </c>
      <c r="K42" s="37">
        <f>IF(G42="", "", SUMIFS('Non-State'!BG:BG, 'Non-State'!$C:$C, $G42))</f>
        <v>0</v>
      </c>
      <c r="L42" s="37">
        <f>IF(G42="", "",  SUMIFS('Non-State'!BL:BL, 'Non-State'!$C:$C, $G42)+SUMIFS('Non-State'!CA:CA, 'Non-State'!$C:$C, $G42))</f>
        <v>13622305.59</v>
      </c>
      <c r="M42" s="37">
        <f>IF(G42="", "", SUMIFS('Non-State'!BD:BD, 'Non-State'!$C:$C, $G42))</f>
        <v>0</v>
      </c>
      <c r="N42" s="37">
        <f>IF(G42="", "", SUMIFS('Non-State'!BH:BH, 'Non-State'!$C:$C, $G42))</f>
        <v>0</v>
      </c>
      <c r="O42" s="37">
        <f>IF(G42="","",SUMIFS('Non-State'!BO:BO,'Non-State'!$C:$C,$G42)-SUMIFS('Non-State'!BN:BN,'Non-State'!$C:$C,$G42))</f>
        <v>0</v>
      </c>
      <c r="P42" s="37">
        <f>IF(OR(F42="", F42="No Results"),  "", SUMIFS('Non-State'!CF:CF, 'Non-State'!C:C, $G42)+SUMIFS('Non-State'!CG:CG, 'Non-State'!C:C, $G42))</f>
        <v>0</v>
      </c>
      <c r="Q42" s="37">
        <f>IF(OR(G42="", G42="No Results"),  "", SUMIFS('Non-State'!CG:CG, 'Non-State'!C:C, $G42))</f>
        <v>0</v>
      </c>
    </row>
    <row r="43" spans="6:17" x14ac:dyDescent="0.25">
      <c r="F43" s="66">
        <f t="shared" si="4"/>
        <v>6</v>
      </c>
      <c r="G43" s="66" t="str">
        <f>IF(OR(F43="", F43="No Results"),  "", INDEX('Non-State'!C:C, MATCH($F43, 'Non-State'!B:B, 0)))</f>
        <v>020947001</v>
      </c>
      <c r="H43" s="66" t="str">
        <f>IF(OR(F43="", F43="No Results"), "", INDEX('Non-State'!E:E, MATCH($G43, 'Non-State'!$C:$C, 0)))</f>
        <v>1043267701</v>
      </c>
      <c r="I43" s="67" t="str">
        <f>IF(OR(G43="", G43="No Results"), "", INDEX('Non-State'!F:F, MATCH($G43, 'Non-State'!$C:$C, 0)))</f>
        <v>Valley Regional Medical Center</v>
      </c>
      <c r="J43" s="37">
        <f>IF(G43="", "", SUMIFS('Non-State'!CH:CH, 'Non-State'!C:C, $G43))</f>
        <v>4989910.4800000004</v>
      </c>
      <c r="K43" s="37">
        <f>IF(G43="", "", SUMIFS('Non-State'!BG:BG, 'Non-State'!$C:$C, $G43))</f>
        <v>0</v>
      </c>
      <c r="L43" s="37">
        <f>IF(G43="", "",  SUMIFS('Non-State'!BL:BL, 'Non-State'!$C:$C, $G43)+SUMIFS('Non-State'!CA:CA, 'Non-State'!$C:$C, $G43))</f>
        <v>4989910.4800000004</v>
      </c>
      <c r="M43" s="37">
        <f>IF(G43="", "", SUMIFS('Non-State'!BD:BD, 'Non-State'!$C:$C, $G43))</f>
        <v>0</v>
      </c>
      <c r="N43" s="37">
        <f>IF(G43="", "", SUMIFS('Non-State'!BH:BH, 'Non-State'!$C:$C, $G43))</f>
        <v>0</v>
      </c>
      <c r="O43" s="37">
        <f>IF(G43="","",SUMIFS('Non-State'!BO:BO,'Non-State'!$C:$C,$G43)-SUMIFS('Non-State'!BN:BN,'Non-State'!$C:$C,$G43))</f>
        <v>0</v>
      </c>
      <c r="P43" s="37">
        <f>IF(OR(F43="", F43="No Results"),  "", SUMIFS('Non-State'!CF:CF, 'Non-State'!C:C, $G43)+SUMIFS('Non-State'!CG:CG, 'Non-State'!C:C, $G43))</f>
        <v>0</v>
      </c>
      <c r="Q43" s="37">
        <f>IF(OR(G43="", G43="No Results"),  "", SUMIFS('Non-State'!CG:CG, 'Non-State'!C:C, $G43))</f>
        <v>0</v>
      </c>
    </row>
    <row r="44" spans="6:17" x14ac:dyDescent="0.25">
      <c r="F44" s="66">
        <f t="shared" si="4"/>
        <v>7</v>
      </c>
      <c r="G44" s="66" t="str">
        <f>IF(OR(F44="", F44="No Results"),  "", INDEX('Non-State'!C:C, MATCH($F44, 'Non-State'!B:B, 0)))</f>
        <v>020950401</v>
      </c>
      <c r="H44" s="66" t="str">
        <f>IF(OR(F44="", F44="No Results"), "", INDEX('Non-State'!E:E, MATCH($G44, 'Non-State'!$C:$C, 0)))</f>
        <v>1134172406</v>
      </c>
      <c r="I44" s="67" t="str">
        <f>IF(OR(G44="", G44="No Results"), "", INDEX('Non-State'!F:F, MATCH($G44, 'Non-State'!$C:$C, 0)))</f>
        <v>Medical City Arlington</v>
      </c>
      <c r="J44" s="37">
        <f>IF(G44="", "", SUMIFS('Non-State'!CH:CH, 'Non-State'!C:C, $G44))</f>
        <v>8000000</v>
      </c>
      <c r="K44" s="37">
        <f>IF(G44="", "", SUMIFS('Non-State'!BG:BG, 'Non-State'!$C:$C, $G44))</f>
        <v>0</v>
      </c>
      <c r="L44" s="37">
        <f>IF(G44="", "",  SUMIFS('Non-State'!BL:BL, 'Non-State'!$C:$C, $G44)+SUMIFS('Non-State'!CA:CA, 'Non-State'!$C:$C, $G44))</f>
        <v>8000000</v>
      </c>
      <c r="M44" s="37">
        <f>IF(G44="", "", SUMIFS('Non-State'!BD:BD, 'Non-State'!$C:$C, $G44))</f>
        <v>0</v>
      </c>
      <c r="N44" s="37">
        <f>IF(G44="", "", SUMIFS('Non-State'!BH:BH, 'Non-State'!$C:$C, $G44))</f>
        <v>0</v>
      </c>
      <c r="O44" s="37">
        <f>IF(G44="","",SUMIFS('Non-State'!BO:BO,'Non-State'!$C:$C,$G44)-SUMIFS('Non-State'!BN:BN,'Non-State'!$C:$C,$G44))</f>
        <v>0</v>
      </c>
      <c r="P44" s="37">
        <f>IF(OR(F44="", F44="No Results"),  "", SUMIFS('Non-State'!CF:CF, 'Non-State'!C:C, $G44)+SUMIFS('Non-State'!CG:CG, 'Non-State'!C:C, $G44))</f>
        <v>0</v>
      </c>
      <c r="Q44" s="37">
        <f>IF(OR(G44="", G44="No Results"),  "", SUMIFS('Non-State'!CG:CG, 'Non-State'!C:C, $G44))</f>
        <v>0</v>
      </c>
    </row>
    <row r="45" spans="6:17" x14ac:dyDescent="0.25">
      <c r="F45" s="66">
        <f t="shared" si="4"/>
        <v>8</v>
      </c>
      <c r="G45" s="66" t="str">
        <f>IF(OR(F45="", F45="No Results"),  "", INDEX('Non-State'!C:C, MATCH($F45, 'Non-State'!B:B, 0)))</f>
        <v>020966001</v>
      </c>
      <c r="H45" s="66" t="str">
        <f>IF(OR(F45="", F45="No Results"), "", INDEX('Non-State'!E:E, MATCH($G45, 'Non-State'!$C:$C, 0)))</f>
        <v>1205018439</v>
      </c>
      <c r="I45" s="67" t="str">
        <f>IF(OR(G45="", G45="No Results"), "", INDEX('Non-State'!F:F, MATCH($G45, 'Non-State'!$C:$C, 0)))</f>
        <v>Baylor Scott &amp; White Medical Center - Lake Pointe</v>
      </c>
      <c r="J45" s="37">
        <f>IF(G45="", "", SUMIFS('Non-State'!CH:CH, 'Non-State'!C:C, $G45))</f>
        <v>5034036.59</v>
      </c>
      <c r="K45" s="37">
        <f>IF(G45="", "", SUMIFS('Non-State'!BG:BG, 'Non-State'!$C:$C, $G45))</f>
        <v>0</v>
      </c>
      <c r="L45" s="37">
        <f>IF(G45="", "",  SUMIFS('Non-State'!BL:BL, 'Non-State'!$C:$C, $G45)+SUMIFS('Non-State'!CA:CA, 'Non-State'!$C:$C, $G45))</f>
        <v>5034036.59</v>
      </c>
      <c r="M45" s="37">
        <f>IF(G45="", "", SUMIFS('Non-State'!BD:BD, 'Non-State'!$C:$C, $G45))</f>
        <v>0</v>
      </c>
      <c r="N45" s="37">
        <f>IF(G45="", "", SUMIFS('Non-State'!BH:BH, 'Non-State'!$C:$C, $G45))</f>
        <v>0</v>
      </c>
      <c r="O45" s="37">
        <f>IF(G45="","",SUMIFS('Non-State'!BO:BO,'Non-State'!$C:$C,$G45)-SUMIFS('Non-State'!BN:BN,'Non-State'!$C:$C,$G45))</f>
        <v>0</v>
      </c>
      <c r="P45" s="37">
        <f>IF(OR(F45="", F45="No Results"),  "", SUMIFS('Non-State'!CF:CF, 'Non-State'!C:C, $G45)+SUMIFS('Non-State'!CG:CG, 'Non-State'!C:C, $G45))</f>
        <v>0</v>
      </c>
      <c r="Q45" s="37">
        <f>IF(OR(G45="", G45="No Results"),  "", SUMIFS('Non-State'!CG:CG, 'Non-State'!C:C, $G45))</f>
        <v>0</v>
      </c>
    </row>
    <row r="46" spans="6:17" x14ac:dyDescent="0.25">
      <c r="F46" s="66">
        <f t="shared" si="4"/>
        <v>9</v>
      </c>
      <c r="G46" s="66" t="str">
        <f>IF(OR(F46="", F46="No Results"),  "", INDEX('Non-State'!C:C, MATCH($F46, 'Non-State'!B:B, 0)))</f>
        <v>020973601</v>
      </c>
      <c r="H46" s="66" t="str">
        <f>IF(OR(F46="", F46="No Results"), "", INDEX('Non-State'!E:E, MATCH($G46, 'Non-State'!$C:$C, 0)))</f>
        <v>1508810573</v>
      </c>
      <c r="I46" s="67" t="str">
        <f>IF(OR(G46="", G46="No Results"), "", INDEX('Non-State'!F:F, MATCH($G46, 'Non-State'!$C:$C, 0)))</f>
        <v>Corpus Christi Medical Center</v>
      </c>
      <c r="J46" s="37">
        <f>IF(G46="", "", SUMIFS('Non-State'!CH:CH, 'Non-State'!C:C, $G46))</f>
        <v>8000000</v>
      </c>
      <c r="K46" s="37">
        <f>IF(G46="", "", SUMIFS('Non-State'!BG:BG, 'Non-State'!$C:$C, $G46))</f>
        <v>0</v>
      </c>
      <c r="L46" s="37">
        <f>IF(G46="", "",  SUMIFS('Non-State'!BL:BL, 'Non-State'!$C:$C, $G46)+SUMIFS('Non-State'!CA:CA, 'Non-State'!$C:$C, $G46))</f>
        <v>8000000</v>
      </c>
      <c r="M46" s="37">
        <f>IF(G46="", "", SUMIFS('Non-State'!BD:BD, 'Non-State'!$C:$C, $G46))</f>
        <v>0</v>
      </c>
      <c r="N46" s="37">
        <f>IF(G46="", "", SUMIFS('Non-State'!BH:BH, 'Non-State'!$C:$C, $G46))</f>
        <v>0</v>
      </c>
      <c r="O46" s="37">
        <f>IF(G46="","",SUMIFS('Non-State'!BO:BO,'Non-State'!$C:$C,$G46)-SUMIFS('Non-State'!BN:BN,'Non-State'!$C:$C,$G46))</f>
        <v>0</v>
      </c>
      <c r="P46" s="37">
        <f>IF(OR(F46="", F46="No Results"),  "", SUMIFS('Non-State'!CF:CF, 'Non-State'!C:C, $G46)+SUMIFS('Non-State'!CG:CG, 'Non-State'!C:C, $G46))</f>
        <v>0</v>
      </c>
      <c r="Q46" s="37">
        <f>IF(OR(G46="", G46="No Results"),  "", SUMIFS('Non-State'!CG:CG, 'Non-State'!C:C, $G46))</f>
        <v>0</v>
      </c>
    </row>
    <row r="47" spans="6:17" x14ac:dyDescent="0.25">
      <c r="F47" s="66">
        <f t="shared" si="4"/>
        <v>10</v>
      </c>
      <c r="G47" s="66" t="str">
        <f>IF(OR(F47="", F47="No Results"),  "", INDEX('Non-State'!C:C, MATCH($F47, 'Non-State'!B:B, 0)))</f>
        <v>020976902</v>
      </c>
      <c r="H47" s="66" t="str">
        <f>IF(OR(F47="", F47="No Results"), "", INDEX('Non-State'!E:E, MATCH($G47, 'Non-State'!$C:$C, 0)))</f>
        <v>1295736734</v>
      </c>
      <c r="I47" s="67" t="str">
        <f>IF(OR(G47="", G47="No Results"), "", INDEX('Non-State'!F:F, MATCH($G47, 'Non-State'!$C:$C, 0)))</f>
        <v>Christus St. Michael Health System</v>
      </c>
      <c r="J47" s="37">
        <f>IF(G47="", "", SUMIFS('Non-State'!CH:CH, 'Non-State'!C:C, $G47))</f>
        <v>14761950.58</v>
      </c>
      <c r="K47" s="37">
        <f>IF(G47="", "", SUMIFS('Non-State'!BG:BG, 'Non-State'!$C:$C, $G47))</f>
        <v>0</v>
      </c>
      <c r="L47" s="37">
        <f>IF(G47="", "",  SUMIFS('Non-State'!BL:BL, 'Non-State'!$C:$C, $G47)+SUMIFS('Non-State'!CA:CA, 'Non-State'!$C:$C, $G47))</f>
        <v>14761950.58</v>
      </c>
      <c r="M47" s="37">
        <f>IF(G47="", "", SUMIFS('Non-State'!BD:BD, 'Non-State'!$C:$C, $G47))</f>
        <v>0</v>
      </c>
      <c r="N47" s="37">
        <f>IF(G47="", "", SUMIFS('Non-State'!BH:BH, 'Non-State'!$C:$C, $G47))</f>
        <v>0</v>
      </c>
      <c r="O47" s="37">
        <f>IF(G47="","",SUMIFS('Non-State'!BO:BO,'Non-State'!$C:$C,$G47)-SUMIFS('Non-State'!BN:BN,'Non-State'!$C:$C,$G47))</f>
        <v>0</v>
      </c>
      <c r="P47" s="37">
        <f>IF(OR(F47="", F47="No Results"),  "", SUMIFS('Non-State'!CF:CF, 'Non-State'!C:C, $G47)+SUMIFS('Non-State'!CG:CG, 'Non-State'!C:C, $G47))</f>
        <v>0</v>
      </c>
      <c r="Q47" s="37">
        <f>IF(OR(G47="", G47="No Results"),  "", SUMIFS('Non-State'!CG:CG, 'Non-State'!C:C, $G47))</f>
        <v>0</v>
      </c>
    </row>
    <row r="48" spans="6:17" x14ac:dyDescent="0.25">
      <c r="F48" s="66">
        <f t="shared" si="4"/>
        <v>11</v>
      </c>
      <c r="G48" s="66" t="str">
        <f>IF(OR(F48="", F48="No Results"),  "", INDEX('Non-State'!C:C, MATCH($F48, 'Non-State'!B:B, 0)))</f>
        <v>020992601</v>
      </c>
      <c r="H48" s="66" t="str">
        <f>IF(OR(F48="", F48="No Results"), "", INDEX('Non-State'!E:E, MATCH($G48, 'Non-State'!$C:$C, 0)))</f>
        <v>1083612121</v>
      </c>
      <c r="I48" s="67" t="str">
        <f>IF(OR(G48="", G48="No Results"), "", INDEX('Non-State'!F:F, MATCH($G48, 'Non-State'!$C:$C, 0)))</f>
        <v>Stonewall Memorial Hospital District</v>
      </c>
      <c r="J48" s="37">
        <f>IF(G48="", "", SUMIFS('Non-State'!CH:CH, 'Non-State'!C:C, $G48))</f>
        <v>448125.08</v>
      </c>
      <c r="K48" s="37">
        <f>IF(G48="", "", SUMIFS('Non-State'!BG:BG, 'Non-State'!$C:$C, $G48))</f>
        <v>0</v>
      </c>
      <c r="L48" s="37">
        <f>IF(G48="", "",  SUMIFS('Non-State'!BL:BL, 'Non-State'!$C:$C, $G48)+SUMIFS('Non-State'!CA:CA, 'Non-State'!$C:$C, $G48))</f>
        <v>448125.08</v>
      </c>
      <c r="M48" s="37">
        <f>IF(G48="", "", SUMIFS('Non-State'!BD:BD, 'Non-State'!$C:$C, $G48))</f>
        <v>157426.34121454685</v>
      </c>
      <c r="N48" s="37">
        <f>IF(G48="", "", SUMIFS('Non-State'!BH:BH, 'Non-State'!$C:$C, $G48))</f>
        <v>0</v>
      </c>
      <c r="O48" s="37">
        <f>IF(G48="","",SUMIFS('Non-State'!BO:BO,'Non-State'!$C:$C,$G48)-SUMIFS('Non-State'!BN:BN,'Non-State'!$C:$C,$G48))</f>
        <v>157426.34</v>
      </c>
      <c r="P48" s="37">
        <f>IF(OR(F48="", F48="No Results"),  "", SUMIFS('Non-State'!CF:CF, 'Non-State'!C:C, $G48)+SUMIFS('Non-State'!CG:CG, 'Non-State'!C:C, $G48))</f>
        <v>0</v>
      </c>
      <c r="Q48" s="37">
        <f>IF(OR(G48="", G48="No Results"),  "", SUMIFS('Non-State'!CG:CG, 'Non-State'!C:C, $G48))</f>
        <v>0</v>
      </c>
    </row>
    <row r="49" spans="6:17" x14ac:dyDescent="0.25">
      <c r="F49" s="66">
        <f t="shared" si="4"/>
        <v>12</v>
      </c>
      <c r="G49" s="66" t="str">
        <f>IF(OR(F49="", F49="No Results"),  "", INDEX('Non-State'!C:C, MATCH($F49, 'Non-State'!B:B, 0)))</f>
        <v>021189801</v>
      </c>
      <c r="H49" s="66" t="str">
        <f>IF(OR(F49="", F49="No Results"), "", INDEX('Non-State'!E:E, MATCH($G49, 'Non-State'!$C:$C, 0)))</f>
        <v>1023015120</v>
      </c>
      <c r="I49" s="67" t="str">
        <f>IF(OR(G49="", G49="No Results"), "", INDEX('Non-State'!F:F, MATCH($G49, 'Non-State'!$C:$C, 0)))</f>
        <v>Millwood Hospital</v>
      </c>
      <c r="J49" s="37">
        <f>IF(G49="", "", SUMIFS('Non-State'!CH:CH, 'Non-State'!C:C, $G49))</f>
        <v>2699752.4</v>
      </c>
      <c r="K49" s="37">
        <f>IF(G49="", "", SUMIFS('Non-State'!BG:BG, 'Non-State'!$C:$C, $G49))</f>
        <v>0</v>
      </c>
      <c r="L49" s="37">
        <f>IF(G49="", "",  SUMIFS('Non-State'!BL:BL, 'Non-State'!$C:$C, $G49)+SUMIFS('Non-State'!CA:CA, 'Non-State'!$C:$C, $G49))</f>
        <v>2699752.4</v>
      </c>
      <c r="M49" s="37">
        <f>IF(G49="", "", SUMIFS('Non-State'!BD:BD, 'Non-State'!$C:$C, $G49))</f>
        <v>0</v>
      </c>
      <c r="N49" s="37">
        <f>IF(G49="", "", SUMIFS('Non-State'!BH:BH, 'Non-State'!$C:$C, $G49))</f>
        <v>0</v>
      </c>
      <c r="O49" s="37">
        <f>IF(G49="","",SUMIFS('Non-State'!BO:BO,'Non-State'!$C:$C,$G49)-SUMIFS('Non-State'!BN:BN,'Non-State'!$C:$C,$G49))</f>
        <v>0</v>
      </c>
      <c r="P49" s="37">
        <f>IF(OR(F49="", F49="No Results"),  "", SUMIFS('Non-State'!CF:CF, 'Non-State'!C:C, $G49)+SUMIFS('Non-State'!CG:CG, 'Non-State'!C:C, $G49))</f>
        <v>0</v>
      </c>
      <c r="Q49" s="37">
        <f>IF(OR(G49="", G49="No Results"),  "", SUMIFS('Non-State'!CG:CG, 'Non-State'!C:C, $G49))</f>
        <v>0</v>
      </c>
    </row>
    <row r="50" spans="6:17" x14ac:dyDescent="0.25">
      <c r="F50" s="66">
        <f t="shared" si="4"/>
        <v>13</v>
      </c>
      <c r="G50" s="66" t="str">
        <f>IF(OR(F50="", F50="No Results"),  "", INDEX('Non-State'!C:C, MATCH($F50, 'Non-State'!B:B, 0)))</f>
        <v>021203701</v>
      </c>
      <c r="H50" s="66" t="str">
        <f>IF(OR(F50="", F50="No Results"), "", INDEX('Non-State'!E:E, MATCH($G50, 'Non-State'!$C:$C, 0)))</f>
        <v>1730187568</v>
      </c>
      <c r="I50" s="67" t="str">
        <f>IF(OR(G50="", G50="No Results"), "", INDEX('Non-State'!F:F, MATCH($G50, 'Non-State'!$C:$C, 0)))</f>
        <v>Cypress Creek Hospital Inc</v>
      </c>
      <c r="J50" s="37">
        <f>IF(G50="", "", SUMIFS('Non-State'!CH:CH, 'Non-State'!C:C, $G50))</f>
        <v>172351.1</v>
      </c>
      <c r="K50" s="37">
        <f>IF(G50="", "", SUMIFS('Non-State'!BG:BG, 'Non-State'!$C:$C, $G50))</f>
        <v>0</v>
      </c>
      <c r="L50" s="37">
        <f>IF(G50="", "",  SUMIFS('Non-State'!BL:BL, 'Non-State'!$C:$C, $G50)+SUMIFS('Non-State'!CA:CA, 'Non-State'!$C:$C, $G50))</f>
        <v>172351.1</v>
      </c>
      <c r="M50" s="37">
        <f>IF(G50="", "", SUMIFS('Non-State'!BD:BD, 'Non-State'!$C:$C, $G50))</f>
        <v>0</v>
      </c>
      <c r="N50" s="37">
        <f>IF(G50="", "", SUMIFS('Non-State'!BH:BH, 'Non-State'!$C:$C, $G50))</f>
        <v>0</v>
      </c>
      <c r="O50" s="37">
        <f>IF(G50="","",SUMIFS('Non-State'!BO:BO,'Non-State'!$C:$C,$G50)-SUMIFS('Non-State'!BN:BN,'Non-State'!$C:$C,$G50))</f>
        <v>0</v>
      </c>
      <c r="P50" s="37">
        <f>IF(OR(F50="", F50="No Results"),  "", SUMIFS('Non-State'!CF:CF, 'Non-State'!C:C, $G50)+SUMIFS('Non-State'!CG:CG, 'Non-State'!C:C, $G50))</f>
        <v>0</v>
      </c>
      <c r="Q50" s="37">
        <f>IF(OR(G50="", G50="No Results"),  "", SUMIFS('Non-State'!CG:CG, 'Non-State'!C:C, $G50))</f>
        <v>0</v>
      </c>
    </row>
    <row r="51" spans="6:17" x14ac:dyDescent="0.25">
      <c r="F51" s="66">
        <f t="shared" si="4"/>
        <v>14</v>
      </c>
      <c r="G51" s="66" t="str">
        <f>IF(OR(F51="", F51="No Results"),  "", INDEX('Non-State'!C:C, MATCH($F51, 'Non-State'!B:B, 0)))</f>
        <v>021215104</v>
      </c>
      <c r="H51" s="66" t="str">
        <f>IF(OR(F51="", F51="No Results"), "", INDEX('Non-State'!E:E, MATCH($G51, 'Non-State'!$C:$C, 0)))</f>
        <v>1689692402</v>
      </c>
      <c r="I51" s="67" t="str">
        <f>IF(OR(G51="", G51="No Results"), "", INDEX('Non-State'!F:F, MATCH($G51, 'Non-State'!$C:$C, 0)))</f>
        <v>Cedar Crest Hospital And Rtc</v>
      </c>
      <c r="J51" s="37">
        <f>IF(G51="", "", SUMIFS('Non-State'!CH:CH, 'Non-State'!C:C, $G51))</f>
        <v>1285200.77</v>
      </c>
      <c r="K51" s="37">
        <f>IF(G51="", "", SUMIFS('Non-State'!BG:BG, 'Non-State'!$C:$C, $G51))</f>
        <v>0</v>
      </c>
      <c r="L51" s="37">
        <f>IF(G51="", "",  SUMIFS('Non-State'!BL:BL, 'Non-State'!$C:$C, $G51)+SUMIFS('Non-State'!CA:CA, 'Non-State'!$C:$C, $G51))</f>
        <v>1285200.77</v>
      </c>
      <c r="M51" s="37">
        <f>IF(G51="", "", SUMIFS('Non-State'!BD:BD, 'Non-State'!$C:$C, $G51))</f>
        <v>0</v>
      </c>
      <c r="N51" s="37">
        <f>IF(G51="", "", SUMIFS('Non-State'!BH:BH, 'Non-State'!$C:$C, $G51))</f>
        <v>0</v>
      </c>
      <c r="O51" s="37">
        <f>IF(G51="","",SUMIFS('Non-State'!BO:BO,'Non-State'!$C:$C,$G51)-SUMIFS('Non-State'!BN:BN,'Non-State'!$C:$C,$G51))</f>
        <v>0</v>
      </c>
      <c r="P51" s="37">
        <f>IF(OR(F51="", F51="No Results"),  "", SUMIFS('Non-State'!CF:CF, 'Non-State'!C:C, $G51)+SUMIFS('Non-State'!CG:CG, 'Non-State'!C:C, $G51))</f>
        <v>0</v>
      </c>
      <c r="Q51" s="37">
        <f>IF(OR(G51="", G51="No Results"),  "", SUMIFS('Non-State'!CG:CG, 'Non-State'!C:C, $G51))</f>
        <v>0</v>
      </c>
    </row>
    <row r="52" spans="6:17" x14ac:dyDescent="0.25">
      <c r="F52" s="66">
        <f t="shared" si="4"/>
        <v>15</v>
      </c>
      <c r="G52" s="66" t="str">
        <f>IF(OR(F52="", F52="No Results"),  "", INDEX('Non-State'!C:C, MATCH($F52, 'Non-State'!B:B, 0)))</f>
        <v>021240902</v>
      </c>
      <c r="H52" s="66" t="str">
        <f>IF(OR(F52="", F52="No Results"), "", INDEX('Non-State'!E:E, MATCH($G52, 'Non-State'!$C:$C, 0)))</f>
        <v>1043280951</v>
      </c>
      <c r="I52" s="67" t="str">
        <f>IF(OR(G52="", G52="No Results"), "", INDEX('Non-State'!F:F, MATCH($G52, 'Non-State'!$C:$C, 0)))</f>
        <v>Laurel Ridge Treatment Center</v>
      </c>
      <c r="J52" s="37">
        <f>IF(G52="", "", SUMIFS('Non-State'!CH:CH, 'Non-State'!C:C, $G52))</f>
        <v>287087.03999999998</v>
      </c>
      <c r="K52" s="37">
        <f>IF(G52="", "", SUMIFS('Non-State'!BG:BG, 'Non-State'!$C:$C, $G52))</f>
        <v>0</v>
      </c>
      <c r="L52" s="37">
        <f>IF(G52="", "",  SUMIFS('Non-State'!BL:BL, 'Non-State'!$C:$C, $G52)+SUMIFS('Non-State'!CA:CA, 'Non-State'!$C:$C, $G52))</f>
        <v>287087.03999999998</v>
      </c>
      <c r="M52" s="37">
        <f>IF(G52="", "", SUMIFS('Non-State'!BD:BD, 'Non-State'!$C:$C, $G52))</f>
        <v>0</v>
      </c>
      <c r="N52" s="37">
        <f>IF(G52="", "", SUMIFS('Non-State'!BH:BH, 'Non-State'!$C:$C, $G52))</f>
        <v>0</v>
      </c>
      <c r="O52" s="37">
        <f>IF(G52="","",SUMIFS('Non-State'!BO:BO,'Non-State'!$C:$C,$G52)-SUMIFS('Non-State'!BN:BN,'Non-State'!$C:$C,$G52))</f>
        <v>0</v>
      </c>
      <c r="P52" s="37">
        <f>IF(OR(F52="", F52="No Results"),  "", SUMIFS('Non-State'!CF:CF, 'Non-State'!C:C, $G52)+SUMIFS('Non-State'!CG:CG, 'Non-State'!C:C, $G52))</f>
        <v>0</v>
      </c>
      <c r="Q52" s="37">
        <f>IF(OR(G52="", G52="No Results"),  "", SUMIFS('Non-State'!CG:CG, 'Non-State'!C:C, $G52))</f>
        <v>0</v>
      </c>
    </row>
    <row r="53" spans="6:17" x14ac:dyDescent="0.25">
      <c r="F53" s="66">
        <f t="shared" si="4"/>
        <v>16</v>
      </c>
      <c r="G53" s="66" t="str">
        <f>IF(OR(F53="", F53="No Results"),  "", INDEX('Non-State'!C:C, MATCH($F53, 'Non-State'!B:B, 0)))</f>
        <v>094108002</v>
      </c>
      <c r="H53" s="66" t="str">
        <f>IF(OR(F53="", F53="No Results"), "", INDEX('Non-State'!E:E, MATCH($G53, 'Non-State'!$C:$C, 0)))</f>
        <v>1679578439</v>
      </c>
      <c r="I53" s="67" t="str">
        <f>IF(OR(G53="", G53="No Results"), "", INDEX('Non-State'!F:F, MATCH($G53, 'Non-State'!$C:$C, 0)))</f>
        <v>CHRISTUS Mother Frances Hospital - Tyler</v>
      </c>
      <c r="J53" s="37">
        <f>IF(G53="", "", SUMIFS('Non-State'!CH:CH, 'Non-State'!C:C, $G53))</f>
        <v>8240337.3600000003</v>
      </c>
      <c r="K53" s="37">
        <f>IF(G53="", "", SUMIFS('Non-State'!BG:BG, 'Non-State'!$C:$C, $G53))</f>
        <v>0</v>
      </c>
      <c r="L53" s="37">
        <f>IF(G53="", "",  SUMIFS('Non-State'!BL:BL, 'Non-State'!$C:$C, $G53)+SUMIFS('Non-State'!CA:CA, 'Non-State'!$C:$C, $G53))</f>
        <v>8240337.3600000003</v>
      </c>
      <c r="M53" s="37">
        <f>IF(G53="", "", SUMIFS('Non-State'!BD:BD, 'Non-State'!$C:$C, $G53))</f>
        <v>0</v>
      </c>
      <c r="N53" s="37">
        <f>IF(G53="", "", SUMIFS('Non-State'!BH:BH, 'Non-State'!$C:$C, $G53))</f>
        <v>0</v>
      </c>
      <c r="O53" s="37">
        <f>IF(G53="","",SUMIFS('Non-State'!BO:BO,'Non-State'!$C:$C,$G53)-SUMIFS('Non-State'!BN:BN,'Non-State'!$C:$C,$G53))</f>
        <v>0</v>
      </c>
      <c r="P53" s="37">
        <f>IF(OR(F53="", F53="No Results"),  "", SUMIFS('Non-State'!CF:CF, 'Non-State'!C:C, $G53)+SUMIFS('Non-State'!CG:CG, 'Non-State'!C:C, $G53))</f>
        <v>0</v>
      </c>
      <c r="Q53" s="37">
        <f>IF(OR(G53="", G53="No Results"),  "", SUMIFS('Non-State'!CG:CG, 'Non-State'!C:C, $G53))</f>
        <v>0</v>
      </c>
    </row>
    <row r="54" spans="6:17" x14ac:dyDescent="0.25">
      <c r="F54" s="66">
        <f t="shared" si="4"/>
        <v>17</v>
      </c>
      <c r="G54" s="66" t="str">
        <f>IF(OR(F54="", F54="No Results"),  "", INDEX('Non-State'!C:C, MATCH($F54, 'Non-State'!B:B, 0)))</f>
        <v>094109802</v>
      </c>
      <c r="H54" s="66" t="str">
        <f>IF(OR(F54="", F54="No Results"), "", INDEX('Non-State'!E:E, MATCH($G54, 'Non-State'!$C:$C, 0)))</f>
        <v>1770536120</v>
      </c>
      <c r="I54" s="67" t="str">
        <f>IF(OR(G54="", G54="No Results"), "", INDEX('Non-State'!F:F, MATCH($G54, 'Non-State'!$C:$C, 0)))</f>
        <v>Las Palmas Del Sol Healthcare</v>
      </c>
      <c r="J54" s="37">
        <f>IF(G54="", "", SUMIFS('Non-State'!CH:CH, 'Non-State'!C:C, $G54))</f>
        <v>8000000</v>
      </c>
      <c r="K54" s="37">
        <f>IF(G54="", "", SUMIFS('Non-State'!BG:BG, 'Non-State'!$C:$C, $G54))</f>
        <v>0</v>
      </c>
      <c r="L54" s="37">
        <f>IF(G54="", "",  SUMIFS('Non-State'!BL:BL, 'Non-State'!$C:$C, $G54)+SUMIFS('Non-State'!CA:CA, 'Non-State'!$C:$C, $G54))</f>
        <v>8000000</v>
      </c>
      <c r="M54" s="37">
        <f>IF(G54="", "", SUMIFS('Non-State'!BD:BD, 'Non-State'!$C:$C, $G54))</f>
        <v>0</v>
      </c>
      <c r="N54" s="37">
        <f>IF(G54="", "", SUMIFS('Non-State'!BH:BH, 'Non-State'!$C:$C, $G54))</f>
        <v>0</v>
      </c>
      <c r="O54" s="37">
        <f>IF(G54="","",SUMIFS('Non-State'!BO:BO,'Non-State'!$C:$C,$G54)-SUMIFS('Non-State'!BN:BN,'Non-State'!$C:$C,$G54))</f>
        <v>0</v>
      </c>
      <c r="P54" s="37">
        <f>IF(OR(F54="", F54="No Results"),  "", SUMIFS('Non-State'!CF:CF, 'Non-State'!C:C, $G54)+SUMIFS('Non-State'!CG:CG, 'Non-State'!C:C, $G54))</f>
        <v>0</v>
      </c>
      <c r="Q54" s="37">
        <f>IF(OR(G54="", G54="No Results"),  "", SUMIFS('Non-State'!CG:CG, 'Non-State'!C:C, $G54))</f>
        <v>0</v>
      </c>
    </row>
    <row r="55" spans="6:17" x14ac:dyDescent="0.25">
      <c r="F55" s="66">
        <f t="shared" si="4"/>
        <v>18</v>
      </c>
      <c r="G55" s="66" t="str">
        <f>IF(OR(F55="", F55="No Results"),  "", INDEX('Non-State'!C:C, MATCH($F55, 'Non-State'!B:B, 0)))</f>
        <v>094113001</v>
      </c>
      <c r="H55" s="66" t="str">
        <f>IF(OR(F55="", F55="No Results"), "", INDEX('Non-State'!E:E, MATCH($G55, 'Non-State'!$C:$C, 0)))</f>
        <v>1770573586</v>
      </c>
      <c r="I55" s="67" t="str">
        <f>IF(OR(G55="", G55="No Results"), "", INDEX('Non-State'!F:F, MATCH($G55, 'Non-State'!$C:$C, 0)))</f>
        <v>South Texas Health System</v>
      </c>
      <c r="J55" s="37">
        <f>IF(G55="", "", SUMIFS('Non-State'!CH:CH, 'Non-State'!C:C, $G55))</f>
        <v>8000000</v>
      </c>
      <c r="K55" s="37">
        <f>IF(G55="", "", SUMIFS('Non-State'!BG:BG, 'Non-State'!$C:$C, $G55))</f>
        <v>0</v>
      </c>
      <c r="L55" s="37">
        <f>IF(G55="", "",  SUMIFS('Non-State'!BL:BL, 'Non-State'!$C:$C, $G55)+SUMIFS('Non-State'!CA:CA, 'Non-State'!$C:$C, $G55))</f>
        <v>8000000</v>
      </c>
      <c r="M55" s="37">
        <f>IF(G55="", "", SUMIFS('Non-State'!BD:BD, 'Non-State'!$C:$C, $G55))</f>
        <v>0</v>
      </c>
      <c r="N55" s="37">
        <f>IF(G55="", "", SUMIFS('Non-State'!BH:BH, 'Non-State'!$C:$C, $G55))</f>
        <v>0</v>
      </c>
      <c r="O55" s="37">
        <f>IF(G55="","",SUMIFS('Non-State'!BO:BO,'Non-State'!$C:$C,$G55)-SUMIFS('Non-State'!BN:BN,'Non-State'!$C:$C,$G55))</f>
        <v>0</v>
      </c>
      <c r="P55" s="37">
        <f>IF(OR(F55="", F55="No Results"),  "", SUMIFS('Non-State'!CF:CF, 'Non-State'!C:C, $G55)+SUMIFS('Non-State'!CG:CG, 'Non-State'!C:C, $G55))</f>
        <v>0</v>
      </c>
      <c r="Q55" s="37">
        <f>IF(OR(G55="", G55="No Results"),  "", SUMIFS('Non-State'!CG:CG, 'Non-State'!C:C, $G55))</f>
        <v>0</v>
      </c>
    </row>
    <row r="56" spans="6:17" x14ac:dyDescent="0.25">
      <c r="F56" s="66">
        <f t="shared" si="4"/>
        <v>19</v>
      </c>
      <c r="G56" s="66" t="str">
        <f>IF(OR(F56="", F56="No Results"),  "", INDEX('Non-State'!C:C, MATCH($F56, 'Non-State'!B:B, 0)))</f>
        <v>094118902</v>
      </c>
      <c r="H56" s="66" t="str">
        <f>IF(OR(F56="", F56="No Results"), "", INDEX('Non-State'!E:E, MATCH($G56, 'Non-State'!$C:$C, 0)))</f>
        <v>1851343909</v>
      </c>
      <c r="I56" s="67" t="str">
        <f>IF(OR(G56="", G56="No Results"), "", INDEX('Non-State'!F:F, MATCH($G56, 'Non-State'!$C:$C, 0)))</f>
        <v>Detar Hospital</v>
      </c>
      <c r="J56" s="37">
        <f>IF(G56="", "", SUMIFS('Non-State'!CH:CH, 'Non-State'!C:C, $G56))</f>
        <v>3605146.02</v>
      </c>
      <c r="K56" s="37">
        <f>IF(G56="", "", SUMIFS('Non-State'!BG:BG, 'Non-State'!$C:$C, $G56))</f>
        <v>0</v>
      </c>
      <c r="L56" s="37">
        <f>IF(G56="", "",  SUMIFS('Non-State'!BL:BL, 'Non-State'!$C:$C, $G56)+SUMIFS('Non-State'!CA:CA, 'Non-State'!$C:$C, $G56))</f>
        <v>3605146.02</v>
      </c>
      <c r="M56" s="37">
        <f>IF(G56="", "", SUMIFS('Non-State'!BD:BD, 'Non-State'!$C:$C, $G56))</f>
        <v>0</v>
      </c>
      <c r="N56" s="37">
        <f>IF(G56="", "", SUMIFS('Non-State'!BH:BH, 'Non-State'!$C:$C, $G56))</f>
        <v>0</v>
      </c>
      <c r="O56" s="37">
        <f>IF(G56="","",SUMIFS('Non-State'!BO:BO,'Non-State'!$C:$C,$G56)-SUMIFS('Non-State'!BN:BN,'Non-State'!$C:$C,$G56))</f>
        <v>0</v>
      </c>
      <c r="P56" s="37">
        <f>IF(OR(F56="", F56="No Results"),  "", SUMIFS('Non-State'!CF:CF, 'Non-State'!C:C, $G56)+SUMIFS('Non-State'!CG:CG, 'Non-State'!C:C, $G56))</f>
        <v>0</v>
      </c>
      <c r="Q56" s="37">
        <f>IF(OR(G56="", G56="No Results"),  "", SUMIFS('Non-State'!CG:CG, 'Non-State'!C:C, $G56))</f>
        <v>0</v>
      </c>
    </row>
    <row r="57" spans="6:17" x14ac:dyDescent="0.25">
      <c r="F57" s="66">
        <f t="shared" si="4"/>
        <v>20</v>
      </c>
      <c r="G57" s="66" t="str">
        <f>IF(OR(F57="", F57="No Results"),  "", INDEX('Non-State'!C:C, MATCH($F57, 'Non-State'!B:B, 0)))</f>
        <v>094121303</v>
      </c>
      <c r="H57" s="66" t="str">
        <f>IF(OR(F57="", F57="No Results"), "", INDEX('Non-State'!E:E, MATCH($G57, 'Non-State'!$C:$C, 0)))</f>
        <v>1821025990</v>
      </c>
      <c r="I57" s="67" t="str">
        <f>IF(OR(G57="", G57="No Results"), "", INDEX('Non-State'!F:F, MATCH($G57, 'Non-State'!$C:$C, 0)))</f>
        <v>Memorial Hospital</v>
      </c>
      <c r="J57" s="37">
        <f>IF(G57="", "", SUMIFS('Non-State'!CH:CH, 'Non-State'!C:C, $G57))</f>
        <v>6543634.2400000002</v>
      </c>
      <c r="K57" s="37">
        <f>IF(G57="", "", SUMIFS('Non-State'!BG:BG, 'Non-State'!$C:$C, $G57))</f>
        <v>0</v>
      </c>
      <c r="L57" s="37">
        <f>IF(G57="", "",  SUMIFS('Non-State'!BL:BL, 'Non-State'!$C:$C, $G57)+SUMIFS('Non-State'!CA:CA, 'Non-State'!$C:$C, $G57))</f>
        <v>6543634.2400000002</v>
      </c>
      <c r="M57" s="37">
        <f>IF(G57="", "", SUMIFS('Non-State'!BD:BD, 'Non-State'!$C:$C, $G57))</f>
        <v>2298778.7083664513</v>
      </c>
      <c r="N57" s="37">
        <f>IF(G57="", "", SUMIFS('Non-State'!BH:BH, 'Non-State'!$C:$C, $G57))</f>
        <v>0</v>
      </c>
      <c r="O57" s="37">
        <f>IF(G57="","",SUMIFS('Non-State'!BO:BO,'Non-State'!$C:$C,$G57)-SUMIFS('Non-State'!BN:BN,'Non-State'!$C:$C,$G57))</f>
        <v>2298778.71</v>
      </c>
      <c r="P57" s="37">
        <f>IF(OR(F57="", F57="No Results"),  "", SUMIFS('Non-State'!CF:CF, 'Non-State'!C:C, $G57)+SUMIFS('Non-State'!CG:CG, 'Non-State'!C:C, $G57))</f>
        <v>0</v>
      </c>
      <c r="Q57" s="37">
        <f>IF(OR(G57="", G57="No Results"),  "", SUMIFS('Non-State'!CG:CG, 'Non-State'!C:C, $G57))</f>
        <v>0</v>
      </c>
    </row>
    <row r="58" spans="6:17" x14ac:dyDescent="0.25">
      <c r="F58" s="66">
        <f t="shared" si="4"/>
        <v>21</v>
      </c>
      <c r="G58" s="66" t="str">
        <f>IF(OR(F58="", F58="No Results"),  "", INDEX('Non-State'!C:C, MATCH($F58, 'Non-State'!B:B, 0)))</f>
        <v>094129604</v>
      </c>
      <c r="H58" s="66" t="str">
        <f>IF(OR(F58="", F58="No Results"), "", INDEX('Non-State'!E:E, MATCH($G58, 'Non-State'!$C:$C, 0)))</f>
        <v>1700991700</v>
      </c>
      <c r="I58" s="67" t="str">
        <f>IF(OR(G58="", G58="No Results"), "", INDEX('Non-State'!F:F, MATCH($G58, 'Non-State'!$C:$C, 0)))</f>
        <v>Moore County Hospital District</v>
      </c>
      <c r="J58" s="37">
        <f>IF(G58="", "", SUMIFS('Non-State'!CH:CH, 'Non-State'!C:C, $G58))</f>
        <v>2490404.2200000002</v>
      </c>
      <c r="K58" s="37">
        <f>IF(G58="", "", SUMIFS('Non-State'!BG:BG, 'Non-State'!$C:$C, $G58))</f>
        <v>0</v>
      </c>
      <c r="L58" s="37">
        <f>IF(G58="", "",  SUMIFS('Non-State'!BL:BL, 'Non-State'!$C:$C, $G58)+SUMIFS('Non-State'!CA:CA, 'Non-State'!$C:$C, $G58))</f>
        <v>2490404.2200000002</v>
      </c>
      <c r="M58" s="37">
        <f>IF(G58="", "", SUMIFS('Non-State'!BD:BD, 'Non-State'!$C:$C, $G58))</f>
        <v>874879.0016181668</v>
      </c>
      <c r="N58" s="37">
        <f>IF(G58="", "", SUMIFS('Non-State'!BH:BH, 'Non-State'!$C:$C, $G58))</f>
        <v>0</v>
      </c>
      <c r="O58" s="37">
        <f>IF(G58="","",SUMIFS('Non-State'!BO:BO,'Non-State'!$C:$C,$G58)-SUMIFS('Non-State'!BN:BN,'Non-State'!$C:$C,$G58))</f>
        <v>874879</v>
      </c>
      <c r="P58" s="37">
        <f>IF(OR(F58="", F58="No Results"),  "", SUMIFS('Non-State'!CF:CF, 'Non-State'!C:C, $G58)+SUMIFS('Non-State'!CG:CG, 'Non-State'!C:C, $G58))</f>
        <v>0</v>
      </c>
      <c r="Q58" s="37">
        <f>IF(OR(G58="", G58="No Results"),  "", SUMIFS('Non-State'!CG:CG, 'Non-State'!C:C, $G58))</f>
        <v>0</v>
      </c>
    </row>
    <row r="59" spans="6:17" x14ac:dyDescent="0.25">
      <c r="F59" s="66">
        <f t="shared" si="4"/>
        <v>22</v>
      </c>
      <c r="G59" s="66" t="str">
        <f>IF(OR(F59="", F59="No Results"),  "", INDEX('Non-State'!C:C, MATCH($F59, 'Non-State'!B:B, 0)))</f>
        <v>094148602</v>
      </c>
      <c r="H59" s="66" t="str">
        <f>IF(OR(F59="", F59="No Results"), "", INDEX('Non-State'!E:E, MATCH($G59, 'Non-State'!$C:$C, 0)))</f>
        <v>1093744187</v>
      </c>
      <c r="I59" s="67" t="str">
        <f>IF(OR(G59="", G59="No Results"), "", INDEX('Non-State'!F:F, MATCH($G59, 'Non-State'!$C:$C, 0)))</f>
        <v>Baptist Hospitals Of Southeast Texas</v>
      </c>
      <c r="J59" s="37">
        <f>IF(G59="", "", SUMIFS('Non-State'!CH:CH, 'Non-State'!C:C, $G59))</f>
        <v>7719650.1699999999</v>
      </c>
      <c r="K59" s="37">
        <f>IF(G59="", "", SUMIFS('Non-State'!BG:BG, 'Non-State'!$C:$C, $G59))</f>
        <v>0</v>
      </c>
      <c r="L59" s="37">
        <f>IF(G59="", "",  SUMIFS('Non-State'!BL:BL, 'Non-State'!$C:$C, $G59)+SUMIFS('Non-State'!CA:CA, 'Non-State'!$C:$C, $G59))</f>
        <v>7719650.1699999999</v>
      </c>
      <c r="M59" s="37">
        <f>IF(G59="", "", SUMIFS('Non-State'!BD:BD, 'Non-State'!$C:$C, $G59))</f>
        <v>0</v>
      </c>
      <c r="N59" s="37">
        <f>IF(G59="", "", SUMIFS('Non-State'!BH:BH, 'Non-State'!$C:$C, $G59))</f>
        <v>0</v>
      </c>
      <c r="O59" s="37">
        <f>IF(G59="","",SUMIFS('Non-State'!BO:BO,'Non-State'!$C:$C,$G59)-SUMIFS('Non-State'!BN:BN,'Non-State'!$C:$C,$G59))</f>
        <v>0</v>
      </c>
      <c r="P59" s="37">
        <f>IF(OR(F59="", F59="No Results"),  "", SUMIFS('Non-State'!CF:CF, 'Non-State'!C:C, $G59)+SUMIFS('Non-State'!CG:CG, 'Non-State'!C:C, $G59))</f>
        <v>0</v>
      </c>
      <c r="Q59" s="37">
        <f>IF(OR(G59="", G59="No Results"),  "", SUMIFS('Non-State'!CG:CG, 'Non-State'!C:C, $G59))</f>
        <v>0</v>
      </c>
    </row>
    <row r="60" spans="6:17" x14ac:dyDescent="0.25">
      <c r="F60" s="66">
        <f t="shared" si="4"/>
        <v>23</v>
      </c>
      <c r="G60" s="66" t="str">
        <f>IF(OR(F60="", F60="No Results"),  "", INDEX('Non-State'!C:C, MATCH($F60, 'Non-State'!B:B, 0)))</f>
        <v>094154402</v>
      </c>
      <c r="H60" s="66" t="str">
        <f>IF(OR(F60="", F60="No Results"), "", INDEX('Non-State'!E:E, MATCH($G60, 'Non-State'!$C:$C, 0)))</f>
        <v>1124074273</v>
      </c>
      <c r="I60" s="67" t="str">
        <f>IF(OR(G60="", G60="No Results"), "", INDEX('Non-State'!F:F, MATCH($G60, 'Non-State'!$C:$C, 0)))</f>
        <v>Methodist Hospital</v>
      </c>
      <c r="J60" s="37">
        <f>IF(G60="", "", SUMIFS('Non-State'!CH:CH, 'Non-State'!C:C, $G60))</f>
        <v>8000000</v>
      </c>
      <c r="K60" s="37">
        <f>IF(G60="", "", SUMIFS('Non-State'!BG:BG, 'Non-State'!$C:$C, $G60))</f>
        <v>0</v>
      </c>
      <c r="L60" s="37">
        <f>IF(G60="", "",  SUMIFS('Non-State'!BL:BL, 'Non-State'!$C:$C, $G60)+SUMIFS('Non-State'!CA:CA, 'Non-State'!$C:$C, $G60))</f>
        <v>8000000</v>
      </c>
      <c r="M60" s="37">
        <f>IF(G60="", "", SUMIFS('Non-State'!BD:BD, 'Non-State'!$C:$C, $G60))</f>
        <v>0</v>
      </c>
      <c r="N60" s="37">
        <f>IF(G60="", "", SUMIFS('Non-State'!BH:BH, 'Non-State'!$C:$C, $G60))</f>
        <v>0</v>
      </c>
      <c r="O60" s="37">
        <f>IF(G60="","",SUMIFS('Non-State'!BO:BO,'Non-State'!$C:$C,$G60)-SUMIFS('Non-State'!BN:BN,'Non-State'!$C:$C,$G60))</f>
        <v>0</v>
      </c>
      <c r="P60" s="37">
        <f>IF(OR(F60="", F60="No Results"),  "", SUMIFS('Non-State'!CF:CF, 'Non-State'!C:C, $G60)+SUMIFS('Non-State'!CG:CG, 'Non-State'!C:C, $G60))</f>
        <v>0</v>
      </c>
      <c r="Q60" s="37">
        <f>IF(OR(G60="", G60="No Results"),  "", SUMIFS('Non-State'!CG:CG, 'Non-State'!C:C, $G60))</f>
        <v>0</v>
      </c>
    </row>
    <row r="61" spans="6:17" x14ac:dyDescent="0.25">
      <c r="F61" s="66">
        <f t="shared" si="4"/>
        <v>24</v>
      </c>
      <c r="G61" s="66" t="str">
        <f>IF(OR(F61="", F61="No Results"),  "", INDEX('Non-State'!C:C, MATCH($F61, 'Non-State'!B:B, 0)))</f>
        <v>094160103</v>
      </c>
      <c r="H61" s="66" t="str">
        <f>IF(OR(F61="", F61="No Results"), "", INDEX('Non-State'!E:E, MATCH($G61, 'Non-State'!$C:$C, 0)))</f>
        <v>1720033947</v>
      </c>
      <c r="I61" s="67" t="str">
        <f>IF(OR(G61="", G61="No Results"), "", INDEX('Non-State'!F:F, MATCH($G61, 'Non-State'!$C:$C, 0)))</f>
        <v>St. David's Medical Center</v>
      </c>
      <c r="J61" s="37">
        <f>IF(G61="", "", SUMIFS('Non-State'!CH:CH, 'Non-State'!C:C, $G61))</f>
        <v>6000000</v>
      </c>
      <c r="K61" s="37">
        <f>IF(G61="", "", SUMIFS('Non-State'!BG:BG, 'Non-State'!$C:$C, $G61))</f>
        <v>0</v>
      </c>
      <c r="L61" s="37">
        <f>IF(G61="", "",  SUMIFS('Non-State'!BL:BL, 'Non-State'!$C:$C, $G61)+SUMIFS('Non-State'!CA:CA, 'Non-State'!$C:$C, $G61))</f>
        <v>6000000</v>
      </c>
      <c r="M61" s="37">
        <f>IF(G61="", "", SUMIFS('Non-State'!BD:BD, 'Non-State'!$C:$C, $G61))</f>
        <v>0</v>
      </c>
      <c r="N61" s="37">
        <f>IF(G61="", "", SUMIFS('Non-State'!BH:BH, 'Non-State'!$C:$C, $G61))</f>
        <v>0</v>
      </c>
      <c r="O61" s="37">
        <f>IF(G61="","",SUMIFS('Non-State'!BO:BO,'Non-State'!$C:$C,$G61)-SUMIFS('Non-State'!BN:BN,'Non-State'!$C:$C,$G61))</f>
        <v>0</v>
      </c>
      <c r="P61" s="37">
        <f>IF(OR(F61="", F61="No Results"),  "", SUMIFS('Non-State'!CF:CF, 'Non-State'!C:C, $G61)+SUMIFS('Non-State'!CG:CG, 'Non-State'!C:C, $G61))</f>
        <v>0</v>
      </c>
      <c r="Q61" s="37">
        <f>IF(OR(G61="", G61="No Results"),  "", SUMIFS('Non-State'!CG:CG, 'Non-State'!C:C, $G61))</f>
        <v>0</v>
      </c>
    </row>
    <row r="62" spans="6:17" x14ac:dyDescent="0.25">
      <c r="F62" s="66">
        <f t="shared" si="4"/>
        <v>25</v>
      </c>
      <c r="G62" s="66" t="str">
        <f>IF(OR(F62="", F62="No Results"),  "", INDEX('Non-State'!C:C, MATCH($F62, 'Non-State'!B:B, 0)))</f>
        <v>094186602</v>
      </c>
      <c r="H62" s="66" t="str">
        <f>IF(OR(F62="", F62="No Results"), "", INDEX('Non-State'!E:E, MATCH($G62, 'Non-State'!$C:$C, 0)))</f>
        <v>1396731105</v>
      </c>
      <c r="I62" s="67" t="str">
        <f>IF(OR(G62="", G62="No Results"), "", INDEX('Non-State'!F:F, MATCH($G62, 'Non-State'!$C:$C, 0)))</f>
        <v>Doctors Hospital Of Laredo</v>
      </c>
      <c r="J62" s="37">
        <f>IF(G62="", "", SUMIFS('Non-State'!CH:CH, 'Non-State'!C:C, $G62))</f>
        <v>6000000</v>
      </c>
      <c r="K62" s="37">
        <f>IF(G62="", "", SUMIFS('Non-State'!BG:BG, 'Non-State'!$C:$C, $G62))</f>
        <v>0</v>
      </c>
      <c r="L62" s="37">
        <f>IF(G62="", "",  SUMIFS('Non-State'!BL:BL, 'Non-State'!$C:$C, $G62)+SUMIFS('Non-State'!CA:CA, 'Non-State'!$C:$C, $G62))</f>
        <v>6000000</v>
      </c>
      <c r="M62" s="37">
        <f>IF(G62="", "", SUMIFS('Non-State'!BD:BD, 'Non-State'!$C:$C, $G62))</f>
        <v>0</v>
      </c>
      <c r="N62" s="37">
        <f>IF(G62="", "", SUMIFS('Non-State'!BH:BH, 'Non-State'!$C:$C, $G62))</f>
        <v>0</v>
      </c>
      <c r="O62" s="37">
        <f>IF(G62="","",SUMIFS('Non-State'!BO:BO,'Non-State'!$C:$C,$G62)-SUMIFS('Non-State'!BN:BN,'Non-State'!$C:$C,$G62))</f>
        <v>0</v>
      </c>
      <c r="P62" s="37">
        <f>IF(OR(F62="", F62="No Results"),  "", SUMIFS('Non-State'!CF:CF, 'Non-State'!C:C, $G62)+SUMIFS('Non-State'!CG:CG, 'Non-State'!C:C, $G62))</f>
        <v>0</v>
      </c>
      <c r="Q62" s="37">
        <f>IF(OR(G62="", G62="No Results"),  "", SUMIFS('Non-State'!CG:CG, 'Non-State'!C:C, $G62))</f>
        <v>0</v>
      </c>
    </row>
    <row r="63" spans="6:17" x14ac:dyDescent="0.25">
      <c r="F63" s="66">
        <f t="shared" si="4"/>
        <v>26</v>
      </c>
      <c r="G63" s="66" t="str">
        <f>IF(OR(F63="", F63="No Results"),  "", INDEX('Non-State'!C:C, MATCH($F63, 'Non-State'!B:B, 0)))</f>
        <v>094187402</v>
      </c>
      <c r="H63" s="66" t="str">
        <f>IF(OR(F63="", F63="No Results"), "", INDEX('Non-State'!E:E, MATCH($G63, 'Non-State'!$C:$C, 0)))</f>
        <v>1275580938</v>
      </c>
      <c r="I63" s="67" t="str">
        <f>IF(OR(G63="", G63="No Results"), "", INDEX('Non-State'!F:F, MATCH($G63, 'Non-State'!$C:$C, 0)))</f>
        <v>Hca Houston Healthcare West</v>
      </c>
      <c r="J63" s="37">
        <f>IF(G63="", "", SUMIFS('Non-State'!CH:CH, 'Non-State'!C:C, $G63))</f>
        <v>8000000</v>
      </c>
      <c r="K63" s="37">
        <f>IF(G63="", "", SUMIFS('Non-State'!BG:BG, 'Non-State'!$C:$C, $G63))</f>
        <v>0</v>
      </c>
      <c r="L63" s="37">
        <f>IF(G63="", "",  SUMIFS('Non-State'!BL:BL, 'Non-State'!$C:$C, $G63)+SUMIFS('Non-State'!CA:CA, 'Non-State'!$C:$C, $G63))</f>
        <v>8000000</v>
      </c>
      <c r="M63" s="37">
        <f>IF(G63="", "", SUMIFS('Non-State'!BD:BD, 'Non-State'!$C:$C, $G63))</f>
        <v>0</v>
      </c>
      <c r="N63" s="37">
        <f>IF(G63="", "", SUMIFS('Non-State'!BH:BH, 'Non-State'!$C:$C, $G63))</f>
        <v>0</v>
      </c>
      <c r="O63" s="37">
        <f>IF(G63="","",SUMIFS('Non-State'!BO:BO,'Non-State'!$C:$C,$G63)-SUMIFS('Non-State'!BN:BN,'Non-State'!$C:$C,$G63))</f>
        <v>0</v>
      </c>
      <c r="P63" s="37">
        <f>IF(OR(F63="", F63="No Results"),  "", SUMIFS('Non-State'!CF:CF, 'Non-State'!C:C, $G63)+SUMIFS('Non-State'!CG:CG, 'Non-State'!C:C, $G63))</f>
        <v>0</v>
      </c>
      <c r="Q63" s="37">
        <f>IF(OR(G63="", G63="No Results"),  "", SUMIFS('Non-State'!CG:CG, 'Non-State'!C:C, $G63))</f>
        <v>0</v>
      </c>
    </row>
    <row r="64" spans="6:17" x14ac:dyDescent="0.25">
      <c r="F64" s="66">
        <f t="shared" si="4"/>
        <v>27</v>
      </c>
      <c r="G64" s="66" t="str">
        <f>IF(OR(F64="", F64="No Results"),  "", INDEX('Non-State'!C:C, MATCH($F64, 'Non-State'!B:B, 0)))</f>
        <v>094216103</v>
      </c>
      <c r="H64" s="66" t="str">
        <f>IF(OR(F64="", F64="No Results"), "", INDEX('Non-State'!E:E, MATCH($G64, 'Non-State'!$C:$C, 0)))</f>
        <v>1629021845</v>
      </c>
      <c r="I64" s="67" t="str">
        <f>IF(OR(G64="", G64="No Results"), "", INDEX('Non-State'!F:F, MATCH($G64, 'Non-State'!$C:$C, 0)))</f>
        <v>North Austin Medical Center</v>
      </c>
      <c r="J64" s="37">
        <f>IF(G64="", "", SUMIFS('Non-State'!CH:CH, 'Non-State'!C:C, $G64))</f>
        <v>6000000</v>
      </c>
      <c r="K64" s="37">
        <f>IF(G64="", "", SUMIFS('Non-State'!BG:BG, 'Non-State'!$C:$C, $G64))</f>
        <v>0</v>
      </c>
      <c r="L64" s="37">
        <f>IF(G64="", "",  SUMIFS('Non-State'!BL:BL, 'Non-State'!$C:$C, $G64)+SUMIFS('Non-State'!CA:CA, 'Non-State'!$C:$C, $G64))</f>
        <v>6000000</v>
      </c>
      <c r="M64" s="37">
        <f>IF(G64="", "", SUMIFS('Non-State'!BD:BD, 'Non-State'!$C:$C, $G64))</f>
        <v>0</v>
      </c>
      <c r="N64" s="37">
        <f>IF(G64="", "", SUMIFS('Non-State'!BH:BH, 'Non-State'!$C:$C, $G64))</f>
        <v>0</v>
      </c>
      <c r="O64" s="37">
        <f>IF(G64="","",SUMIFS('Non-State'!BO:BO,'Non-State'!$C:$C,$G64)-SUMIFS('Non-State'!BN:BN,'Non-State'!$C:$C,$G64))</f>
        <v>0</v>
      </c>
      <c r="P64" s="37">
        <f>IF(OR(F64="", F64="No Results"),  "", SUMIFS('Non-State'!CF:CF, 'Non-State'!C:C, $G64)+SUMIFS('Non-State'!CG:CG, 'Non-State'!C:C, $G64))</f>
        <v>0</v>
      </c>
      <c r="Q64" s="37">
        <f>IF(OR(G64="", G64="No Results"),  "", SUMIFS('Non-State'!CG:CG, 'Non-State'!C:C, $G64))</f>
        <v>0</v>
      </c>
    </row>
    <row r="65" spans="6:17" x14ac:dyDescent="0.25">
      <c r="F65" s="66">
        <f t="shared" si="4"/>
        <v>28</v>
      </c>
      <c r="G65" s="66" t="str">
        <f>IF(OR(F65="", F65="No Results"),  "", INDEX('Non-State'!C:C, MATCH($F65, 'Non-State'!B:B, 0)))</f>
        <v>094222903</v>
      </c>
      <c r="H65" s="66" t="str">
        <f>IF(OR(F65="", F65="No Results"), "", INDEX('Non-State'!E:E, MATCH($G65, 'Non-State'!$C:$C, 0)))</f>
        <v>1003885641</v>
      </c>
      <c r="I65" s="67" t="str">
        <f>IF(OR(G65="", G65="No Results"), "", INDEX('Non-State'!F:F, MATCH($G65, 'Non-State'!$C:$C, 0)))</f>
        <v>CHRISTUS Spohn Hospital Alice</v>
      </c>
      <c r="J65" s="37">
        <f>IF(G65="", "", SUMIFS('Non-State'!CH:CH, 'Non-State'!C:C, $G65))</f>
        <v>7154365.5500000007</v>
      </c>
      <c r="K65" s="37">
        <f>IF(G65="", "", SUMIFS('Non-State'!BG:BG, 'Non-State'!$C:$C, $G65))</f>
        <v>0</v>
      </c>
      <c r="L65" s="37">
        <f>IF(G65="", "",  SUMIFS('Non-State'!BL:BL, 'Non-State'!$C:$C, $G65)+SUMIFS('Non-State'!CA:CA, 'Non-State'!$C:$C, $G65))</f>
        <v>5673520.6500000004</v>
      </c>
      <c r="M65" s="37">
        <f>IF(G65="", "", SUMIFS('Non-State'!BD:BD, 'Non-State'!$C:$C, $G65))</f>
        <v>0</v>
      </c>
      <c r="N65" s="37">
        <f>IF(G65="", "", SUMIFS('Non-State'!BH:BH, 'Non-State'!$C:$C, $G65))</f>
        <v>0</v>
      </c>
      <c r="O65" s="37">
        <f>IF(G65="","",SUMIFS('Non-State'!BO:BO,'Non-State'!$C:$C,$G65)-SUMIFS('Non-State'!BN:BN,'Non-State'!$C:$C,$G65))</f>
        <v>0</v>
      </c>
      <c r="P65" s="37">
        <f>IF(OR(F65="", F65="No Results"),  "", SUMIFS('Non-State'!CF:CF, 'Non-State'!C:C, $G65)+SUMIFS('Non-State'!CG:CG, 'Non-State'!C:C, $G65))</f>
        <v>1480844.9</v>
      </c>
      <c r="Q65" s="37">
        <f>IF(OR(G65="", G65="No Results"),  "", SUMIFS('Non-State'!CG:CG, 'Non-State'!C:C, $G65))</f>
        <v>0</v>
      </c>
    </row>
    <row r="66" spans="6:17" x14ac:dyDescent="0.25">
      <c r="F66" s="66">
        <f t="shared" si="4"/>
        <v>29</v>
      </c>
      <c r="G66" s="66" t="str">
        <f>IF(OR(F66="", F66="No Results"),  "", INDEX('Non-State'!C:C, MATCH($F66, 'Non-State'!B:B, 0)))</f>
        <v>094224503</v>
      </c>
      <c r="H66" s="66" t="str">
        <f>IF(OR(F66="", F66="No Results"), "", INDEX('Non-State'!E:E, MATCH($G66, 'Non-State'!$C:$C, 0)))</f>
        <v>1356312243</v>
      </c>
      <c r="I66" s="67" t="str">
        <f>IF(OR(G66="", G66="No Results"), "", INDEX('Non-State'!F:F, MATCH($G66, 'Non-State'!$C:$C, 0)))</f>
        <v>Big Bend Regional Medical Center</v>
      </c>
      <c r="J66" s="37">
        <f>IF(G66="", "", SUMIFS('Non-State'!CH:CH, 'Non-State'!C:C, $G66))</f>
        <v>2956378.5300000003</v>
      </c>
      <c r="K66" s="37">
        <f>IF(G66="", "", SUMIFS('Non-State'!BG:BG, 'Non-State'!$C:$C, $G66))</f>
        <v>0</v>
      </c>
      <c r="L66" s="37">
        <f>IF(G66="", "",  SUMIFS('Non-State'!BL:BL, 'Non-State'!$C:$C, $G66)+SUMIFS('Non-State'!CA:CA, 'Non-State'!$C:$C, $G66))</f>
        <v>2344453.1200000001</v>
      </c>
      <c r="M66" s="37">
        <f>IF(G66="", "", SUMIFS('Non-State'!BD:BD, 'Non-State'!$C:$C, $G66))</f>
        <v>0</v>
      </c>
      <c r="N66" s="37">
        <f>IF(G66="", "", SUMIFS('Non-State'!BH:BH, 'Non-State'!$C:$C, $G66))</f>
        <v>0</v>
      </c>
      <c r="O66" s="37">
        <f>IF(G66="","",SUMIFS('Non-State'!BO:BO,'Non-State'!$C:$C,$G66)-SUMIFS('Non-State'!BN:BN,'Non-State'!$C:$C,$G66))</f>
        <v>0</v>
      </c>
      <c r="P66" s="37">
        <f>IF(OR(F66="", F66="No Results"),  "", SUMIFS('Non-State'!CF:CF, 'Non-State'!C:C, $G66)+SUMIFS('Non-State'!CG:CG, 'Non-State'!C:C, $G66))</f>
        <v>611925.41</v>
      </c>
      <c r="Q66" s="37">
        <f>IF(OR(G66="", G66="No Results"),  "", SUMIFS('Non-State'!CG:CG, 'Non-State'!C:C, $G66))</f>
        <v>0</v>
      </c>
    </row>
    <row r="67" spans="6:17" x14ac:dyDescent="0.25">
      <c r="F67" s="66">
        <f t="shared" si="4"/>
        <v>30</v>
      </c>
      <c r="G67" s="66" t="str">
        <f>IF(OR(F67="", F67="No Results"),  "", INDEX('Non-State'!C:C, MATCH($F67, 'Non-State'!B:B, 0)))</f>
        <v>110839103</v>
      </c>
      <c r="H67" s="66" t="str">
        <f>IF(OR(F67="", F67="No Results"), "", INDEX('Non-State'!E:E, MATCH($G67, 'Non-State'!$C:$C, 0)))</f>
        <v>1528026267</v>
      </c>
      <c r="I67" s="67" t="str">
        <f>IF(OR(G67="", G67="No Results"), "", INDEX('Non-State'!F:F, MATCH($G67, 'Non-State'!$C:$C, 0)))</f>
        <v>Longview Regional Medical Center</v>
      </c>
      <c r="J67" s="37">
        <f>IF(G67="", "", SUMIFS('Non-State'!CH:CH, 'Non-State'!C:C, $G67))</f>
        <v>2930102.1</v>
      </c>
      <c r="K67" s="37">
        <f>IF(G67="", "", SUMIFS('Non-State'!BG:BG, 'Non-State'!$C:$C, $G67))</f>
        <v>0</v>
      </c>
      <c r="L67" s="37">
        <f>IF(G67="", "",  SUMIFS('Non-State'!BL:BL, 'Non-State'!$C:$C, $G67)+SUMIFS('Non-State'!CA:CA, 'Non-State'!$C:$C, $G67))</f>
        <v>2930102.1</v>
      </c>
      <c r="M67" s="37">
        <f>IF(G67="", "", SUMIFS('Non-State'!BD:BD, 'Non-State'!$C:$C, $G67))</f>
        <v>0</v>
      </c>
      <c r="N67" s="37">
        <f>IF(G67="", "", SUMIFS('Non-State'!BH:BH, 'Non-State'!$C:$C, $G67))</f>
        <v>0</v>
      </c>
      <c r="O67" s="37">
        <f>IF(G67="","",SUMIFS('Non-State'!BO:BO,'Non-State'!$C:$C,$G67)-SUMIFS('Non-State'!BN:BN,'Non-State'!$C:$C,$G67))</f>
        <v>0</v>
      </c>
      <c r="P67" s="37">
        <f>IF(OR(F67="", F67="No Results"),  "", SUMIFS('Non-State'!CF:CF, 'Non-State'!C:C, $G67)+SUMIFS('Non-State'!CG:CG, 'Non-State'!C:C, $G67))</f>
        <v>0</v>
      </c>
      <c r="Q67" s="37">
        <f>IF(OR(G67="", G67="No Results"),  "", SUMIFS('Non-State'!CG:CG, 'Non-State'!C:C, $G67))</f>
        <v>0</v>
      </c>
    </row>
    <row r="68" spans="6:17" x14ac:dyDescent="0.25">
      <c r="F68" s="66">
        <f t="shared" si="4"/>
        <v>31</v>
      </c>
      <c r="G68" s="66" t="str">
        <f>IF(OR(F68="", F68="No Results"),  "", INDEX('Non-State'!C:C, MATCH($F68, 'Non-State'!B:B, 0)))</f>
        <v>111829102</v>
      </c>
      <c r="H68" s="66" t="str">
        <f>IF(OR(F68="", F68="No Results"), "", INDEX('Non-State'!E:E, MATCH($G68, 'Non-State'!$C:$C, 0)))</f>
        <v>1093708679</v>
      </c>
      <c r="I68" s="67" t="str">
        <f>IF(OR(G68="", G68="No Results"), "", INDEX('Non-State'!F:F, MATCH($G68, 'Non-State'!$C:$C, 0)))</f>
        <v>Ascension Providence</v>
      </c>
      <c r="J68" s="37">
        <f>IF(G68="", "", SUMIFS('Non-State'!CH:CH, 'Non-State'!C:C, $G68))</f>
        <v>9568170.6300000008</v>
      </c>
      <c r="K68" s="37">
        <f>IF(G68="", "", SUMIFS('Non-State'!BG:BG, 'Non-State'!$C:$C, $G68))</f>
        <v>0</v>
      </c>
      <c r="L68" s="37">
        <f>IF(G68="", "",  SUMIFS('Non-State'!BL:BL, 'Non-State'!$C:$C, $G68)+SUMIFS('Non-State'!CA:CA, 'Non-State'!$C:$C, $G68))</f>
        <v>9568170.6300000008</v>
      </c>
      <c r="M68" s="37">
        <f>IF(G68="", "", SUMIFS('Non-State'!BD:BD, 'Non-State'!$C:$C, $G68))</f>
        <v>0</v>
      </c>
      <c r="N68" s="37">
        <f>IF(G68="", "", SUMIFS('Non-State'!BH:BH, 'Non-State'!$C:$C, $G68))</f>
        <v>0</v>
      </c>
      <c r="O68" s="37">
        <f>IF(G68="","",SUMIFS('Non-State'!BO:BO,'Non-State'!$C:$C,$G68)-SUMIFS('Non-State'!BN:BN,'Non-State'!$C:$C,$G68))</f>
        <v>0</v>
      </c>
      <c r="P68" s="37">
        <f>IF(OR(F68="", F68="No Results"),  "", SUMIFS('Non-State'!CF:CF, 'Non-State'!C:C, $G68)+SUMIFS('Non-State'!CG:CG, 'Non-State'!C:C, $G68))</f>
        <v>0</v>
      </c>
      <c r="Q68" s="37">
        <f>IF(OR(G68="", G68="No Results"),  "", SUMIFS('Non-State'!CG:CG, 'Non-State'!C:C, $G68))</f>
        <v>0</v>
      </c>
    </row>
    <row r="69" spans="6:17" x14ac:dyDescent="0.25">
      <c r="F69" s="66">
        <f t="shared" si="4"/>
        <v>32</v>
      </c>
      <c r="G69" s="66" t="str">
        <f>IF(OR(F69="", F69="No Results"),  "", INDEX('Non-State'!C:C, MATCH($F69, 'Non-State'!B:B, 0)))</f>
        <v>111915801</v>
      </c>
      <c r="H69" s="66" t="str">
        <f>IF(OR(F69="", F69="No Results"), "", INDEX('Non-State'!E:E, MATCH($G69, 'Non-State'!$C:$C, 0)))</f>
        <v>1497708929</v>
      </c>
      <c r="I69" s="67" t="str">
        <f>IF(OR(G69="", G69="No Results"), "", INDEX('Non-State'!F:F, MATCH($G69, 'Non-State'!$C:$C, 0)))</f>
        <v>Parkview Regional Hospital</v>
      </c>
      <c r="J69" s="37">
        <f>IF(G69="", "", SUMIFS('Non-State'!CH:CH, 'Non-State'!C:C, $G69))</f>
        <v>273715.02</v>
      </c>
      <c r="K69" s="37">
        <f>IF(G69="", "", SUMIFS('Non-State'!BG:BG, 'Non-State'!$C:$C, $G69))</f>
        <v>0</v>
      </c>
      <c r="L69" s="37">
        <f>IF(G69="", "",  SUMIFS('Non-State'!BL:BL, 'Non-State'!$C:$C, $G69)+SUMIFS('Non-State'!CA:CA, 'Non-State'!$C:$C, $G69))</f>
        <v>217060.17</v>
      </c>
      <c r="M69" s="37">
        <f>IF(G69="", "", SUMIFS('Non-State'!BD:BD, 'Non-State'!$C:$C, $G69))</f>
        <v>0</v>
      </c>
      <c r="N69" s="37">
        <f>IF(G69="", "", SUMIFS('Non-State'!BH:BH, 'Non-State'!$C:$C, $G69))</f>
        <v>0</v>
      </c>
      <c r="O69" s="37">
        <f>IF(G69="","",SUMIFS('Non-State'!BO:BO,'Non-State'!$C:$C,$G69)-SUMIFS('Non-State'!BN:BN,'Non-State'!$C:$C,$G69))</f>
        <v>0</v>
      </c>
      <c r="P69" s="37">
        <f>IF(OR(F69="", F69="No Results"),  "", SUMIFS('Non-State'!CF:CF, 'Non-State'!C:C, $G69)+SUMIFS('Non-State'!CG:CG, 'Non-State'!C:C, $G69))</f>
        <v>56654.85</v>
      </c>
      <c r="Q69" s="37">
        <f>IF(OR(G69="", G69="No Results"),  "", SUMIFS('Non-State'!CG:CG, 'Non-State'!C:C, $G69))</f>
        <v>0</v>
      </c>
    </row>
    <row r="70" spans="6:17" x14ac:dyDescent="0.25">
      <c r="F70" s="66">
        <f t="shared" si="4"/>
        <v>33</v>
      </c>
      <c r="G70" s="66" t="str">
        <f>IF(OR(F70="", F70="No Results"),  "", INDEX('Non-State'!C:C, MATCH($F70, 'Non-State'!B:B, 0)))</f>
        <v>112667403</v>
      </c>
      <c r="H70" s="66" t="str">
        <f>IF(OR(F70="", F70="No Results"), "", INDEX('Non-State'!E:E, MATCH($G70, 'Non-State'!$C:$C, 0)))</f>
        <v>1124092036</v>
      </c>
      <c r="I70" s="67" t="str">
        <f>IF(OR(G70="", G70="No Results"), "", INDEX('Non-State'!F:F, MATCH($G70, 'Non-State'!$C:$C, 0)))</f>
        <v>CHRISTUS Good Shepherd Health System</v>
      </c>
      <c r="J70" s="37">
        <f>IF(G70="", "", SUMIFS('Non-State'!CH:CH, 'Non-State'!C:C, $G70))</f>
        <v>8000000</v>
      </c>
      <c r="K70" s="37">
        <f>IF(G70="", "", SUMIFS('Non-State'!BG:BG, 'Non-State'!$C:$C, $G70))</f>
        <v>0</v>
      </c>
      <c r="L70" s="37">
        <f>IF(G70="", "",  SUMIFS('Non-State'!BL:BL, 'Non-State'!$C:$C, $G70)+SUMIFS('Non-State'!CA:CA, 'Non-State'!$C:$C, $G70))</f>
        <v>8000000</v>
      </c>
      <c r="M70" s="37">
        <f>IF(G70="", "", SUMIFS('Non-State'!BD:BD, 'Non-State'!$C:$C, $G70))</f>
        <v>0</v>
      </c>
      <c r="N70" s="37">
        <f>IF(G70="", "", SUMIFS('Non-State'!BH:BH, 'Non-State'!$C:$C, $G70))</f>
        <v>0</v>
      </c>
      <c r="O70" s="37">
        <f>IF(G70="","",SUMIFS('Non-State'!BO:BO,'Non-State'!$C:$C,$G70)-SUMIFS('Non-State'!BN:BN,'Non-State'!$C:$C,$G70))</f>
        <v>0</v>
      </c>
      <c r="P70" s="37">
        <f>IF(OR(F70="", F70="No Results"),  "", SUMIFS('Non-State'!CF:CF, 'Non-State'!C:C, $G70)+SUMIFS('Non-State'!CG:CG, 'Non-State'!C:C, $G70))</f>
        <v>0</v>
      </c>
      <c r="Q70" s="37">
        <f>IF(OR(G70="", G70="No Results"),  "", SUMIFS('Non-State'!CG:CG, 'Non-State'!C:C, $G70))</f>
        <v>0</v>
      </c>
    </row>
    <row r="71" spans="6:17" x14ac:dyDescent="0.25">
      <c r="F71" s="66">
        <f t="shared" si="4"/>
        <v>34</v>
      </c>
      <c r="G71" s="66" t="str">
        <f>IF(OR(F71="", F71="No Results"),  "", INDEX('Non-State'!C:C, MATCH($F71, 'Non-State'!B:B, 0)))</f>
        <v>112677302</v>
      </c>
      <c r="H71" s="66" t="str">
        <f>IF(OR(F71="", F71="No Results"), "", INDEX('Non-State'!E:E, MATCH($G71, 'Non-State'!$C:$C, 0)))</f>
        <v>1336172105</v>
      </c>
      <c r="I71" s="67" t="str">
        <f>IF(OR(G71="", G71="No Results"), "", INDEX('Non-State'!F:F, MATCH($G71, 'Non-State'!$C:$C, 0)))</f>
        <v>Texas Health Fort Worth</v>
      </c>
      <c r="J71" s="37">
        <f>IF(G71="", "", SUMIFS('Non-State'!CH:CH, 'Non-State'!C:C, $G71))</f>
        <v>8000000</v>
      </c>
      <c r="K71" s="37">
        <f>IF(G71="", "", SUMIFS('Non-State'!BG:BG, 'Non-State'!$C:$C, $G71))</f>
        <v>0</v>
      </c>
      <c r="L71" s="37">
        <f>IF(G71="", "",  SUMIFS('Non-State'!BL:BL, 'Non-State'!$C:$C, $G71)+SUMIFS('Non-State'!CA:CA, 'Non-State'!$C:$C, $G71))</f>
        <v>8000000</v>
      </c>
      <c r="M71" s="37">
        <f>IF(G71="", "", SUMIFS('Non-State'!BD:BD, 'Non-State'!$C:$C, $G71))</f>
        <v>0</v>
      </c>
      <c r="N71" s="37">
        <f>IF(G71="", "", SUMIFS('Non-State'!BH:BH, 'Non-State'!$C:$C, $G71))</f>
        <v>0</v>
      </c>
      <c r="O71" s="37">
        <f>IF(G71="","",SUMIFS('Non-State'!BO:BO,'Non-State'!$C:$C,$G71)-SUMIFS('Non-State'!BN:BN,'Non-State'!$C:$C,$G71))</f>
        <v>0</v>
      </c>
      <c r="P71" s="37">
        <f>IF(OR(F71="", F71="No Results"),  "", SUMIFS('Non-State'!CF:CF, 'Non-State'!C:C, $G71)+SUMIFS('Non-State'!CG:CG, 'Non-State'!C:C, $G71))</f>
        <v>0</v>
      </c>
      <c r="Q71" s="37">
        <f>IF(OR(G71="", G71="No Results"),  "", SUMIFS('Non-State'!CG:CG, 'Non-State'!C:C, $G71))</f>
        <v>0</v>
      </c>
    </row>
    <row r="72" spans="6:17" x14ac:dyDescent="0.25">
      <c r="F72" s="66">
        <f t="shared" si="4"/>
        <v>35</v>
      </c>
      <c r="G72" s="66" t="str">
        <f>IF(OR(F72="", F72="No Results"),  "", INDEX('Non-State'!C:C, MATCH($F72, 'Non-State'!B:B, 0)))</f>
        <v>112679902</v>
      </c>
      <c r="H72" s="66" t="str">
        <f>IF(OR(F72="", F72="No Results"), "", INDEX('Non-State'!E:E, MATCH($G72, 'Non-State'!$C:$C, 0)))</f>
        <v>1205833985</v>
      </c>
      <c r="I72" s="67" t="str">
        <f>IF(OR(G72="", G72="No Results"), "", INDEX('Non-State'!F:F, MATCH($G72, 'Non-State'!$C:$C, 0)))</f>
        <v>Mission Regional Medical Center</v>
      </c>
      <c r="J72" s="37">
        <f>IF(G72="", "", SUMIFS('Non-State'!CH:CH, 'Non-State'!C:C, $G72))</f>
        <v>6000000</v>
      </c>
      <c r="K72" s="37">
        <f>IF(G72="", "", SUMIFS('Non-State'!BG:BG, 'Non-State'!$C:$C, $G72))</f>
        <v>0</v>
      </c>
      <c r="L72" s="37">
        <f>IF(G72="", "",  SUMIFS('Non-State'!BL:BL, 'Non-State'!$C:$C, $G72)+SUMIFS('Non-State'!CA:CA, 'Non-State'!$C:$C, $G72))</f>
        <v>6000000</v>
      </c>
      <c r="M72" s="37">
        <f>IF(G72="", "", SUMIFS('Non-State'!BD:BD, 'Non-State'!$C:$C, $G72))</f>
        <v>0</v>
      </c>
      <c r="N72" s="37">
        <f>IF(G72="", "", SUMIFS('Non-State'!BH:BH, 'Non-State'!$C:$C, $G72))</f>
        <v>0</v>
      </c>
      <c r="O72" s="37">
        <f>IF(G72="","",SUMIFS('Non-State'!BO:BO,'Non-State'!$C:$C,$G72)-SUMIFS('Non-State'!BN:BN,'Non-State'!$C:$C,$G72))</f>
        <v>0</v>
      </c>
      <c r="P72" s="37">
        <f>IF(OR(F72="", F72="No Results"),  "", SUMIFS('Non-State'!CF:CF, 'Non-State'!C:C, $G72)+SUMIFS('Non-State'!CG:CG, 'Non-State'!C:C, $G72))</f>
        <v>0</v>
      </c>
      <c r="Q72" s="37">
        <f>IF(OR(G72="", G72="No Results"),  "", SUMIFS('Non-State'!CG:CG, 'Non-State'!C:C, $G72))</f>
        <v>0</v>
      </c>
    </row>
    <row r="73" spans="6:17" x14ac:dyDescent="0.25">
      <c r="F73" s="66">
        <f t="shared" si="4"/>
        <v>36</v>
      </c>
      <c r="G73" s="66" t="str">
        <f>IF(OR(F73="", F73="No Results"),  "", INDEX('Non-State'!C:C, MATCH($F73, 'Non-State'!B:B, 0)))</f>
        <v>112684904</v>
      </c>
      <c r="H73" s="66" t="str">
        <f>IF(OR(F73="", F73="No Results"), "", INDEX('Non-State'!E:E, MATCH($G73, 'Non-State'!$C:$C, 0)))</f>
        <v>1831170273</v>
      </c>
      <c r="I73" s="67" t="str">
        <f>IF(OR(G73="", G73="No Results"), "", INDEX('Non-State'!F:F, MATCH($G73, 'Non-State'!$C:$C, 0)))</f>
        <v>Reeves County Hospital District</v>
      </c>
      <c r="J73" s="37">
        <f>IF(G73="", "", SUMIFS('Non-State'!CH:CH, 'Non-State'!C:C, $G73))</f>
        <v>4945882</v>
      </c>
      <c r="K73" s="37">
        <f>IF(G73="", "", SUMIFS('Non-State'!BG:BG, 'Non-State'!$C:$C, $G73))</f>
        <v>0</v>
      </c>
      <c r="L73" s="37">
        <f>IF(G73="", "",  SUMIFS('Non-State'!BL:BL, 'Non-State'!$C:$C, $G73)+SUMIFS('Non-State'!CA:CA, 'Non-State'!$C:$C, $G73))</f>
        <v>4945882</v>
      </c>
      <c r="M73" s="37">
        <f>IF(G73="", "", SUMIFS('Non-State'!BD:BD, 'Non-State'!$C:$C, $G73))</f>
        <v>1737488.3470349067</v>
      </c>
      <c r="N73" s="37">
        <f>IF(G73="", "", SUMIFS('Non-State'!BH:BH, 'Non-State'!$C:$C, $G73))</f>
        <v>0</v>
      </c>
      <c r="O73" s="37">
        <f>IF(G73="","",SUMIFS('Non-State'!BO:BO,'Non-State'!$C:$C,$G73)-SUMIFS('Non-State'!BN:BN,'Non-State'!$C:$C,$G73))</f>
        <v>1737488.35</v>
      </c>
      <c r="P73" s="37">
        <f>IF(OR(F73="", F73="No Results"),  "", SUMIFS('Non-State'!CF:CF, 'Non-State'!C:C, $G73)+SUMIFS('Non-State'!CG:CG, 'Non-State'!C:C, $G73))</f>
        <v>0</v>
      </c>
      <c r="Q73" s="37">
        <f>IF(OR(G73="", G73="No Results"),  "", SUMIFS('Non-State'!CG:CG, 'Non-State'!C:C, $G73))</f>
        <v>0</v>
      </c>
    </row>
    <row r="74" spans="6:17" x14ac:dyDescent="0.25">
      <c r="F74" s="66">
        <f t="shared" si="4"/>
        <v>37</v>
      </c>
      <c r="G74" s="66" t="str">
        <f>IF(OR(F74="", F74="No Results"),  "", INDEX('Non-State'!C:C, MATCH($F74, 'Non-State'!B:B, 0)))</f>
        <v>112688004</v>
      </c>
      <c r="H74" s="66" t="str">
        <f>IF(OR(F74="", F74="No Results"), "", INDEX('Non-State'!E:E, MATCH($G74, 'Non-State'!$C:$C, 0)))</f>
        <v>1447574819</v>
      </c>
      <c r="I74" s="67" t="str">
        <f>IF(OR(G74="", G74="No Results"), "", INDEX('Non-State'!F:F, MATCH($G74, 'Non-State'!$C:$C, 0)))</f>
        <v>Frio Regional Hospital</v>
      </c>
      <c r="J74" s="37">
        <f>IF(G74="", "", SUMIFS('Non-State'!CH:CH, 'Non-State'!C:C, $G74))</f>
        <v>3076283.53</v>
      </c>
      <c r="K74" s="37">
        <f>IF(G74="", "", SUMIFS('Non-State'!BG:BG, 'Non-State'!$C:$C, $G74))</f>
        <v>0</v>
      </c>
      <c r="L74" s="37">
        <f>IF(G74="", "",  SUMIFS('Non-State'!BL:BL, 'Non-State'!$C:$C, $G74)+SUMIFS('Non-State'!CA:CA, 'Non-State'!$C:$C, $G74))</f>
        <v>2439539.61</v>
      </c>
      <c r="M74" s="37">
        <f>IF(G74="", "", SUMIFS('Non-State'!BD:BD, 'Non-State'!$C:$C, $G74))</f>
        <v>0</v>
      </c>
      <c r="N74" s="37">
        <f>IF(G74="", "", SUMIFS('Non-State'!BH:BH, 'Non-State'!$C:$C, $G74))</f>
        <v>0</v>
      </c>
      <c r="O74" s="37">
        <f>IF(G74="","",SUMIFS('Non-State'!BO:BO,'Non-State'!$C:$C,$G74)-SUMIFS('Non-State'!BN:BN,'Non-State'!$C:$C,$G74))</f>
        <v>0</v>
      </c>
      <c r="P74" s="37">
        <f>IF(OR(F74="", F74="No Results"),  "", SUMIFS('Non-State'!CF:CF, 'Non-State'!C:C, $G74)+SUMIFS('Non-State'!CG:CG, 'Non-State'!C:C, $G74))</f>
        <v>636743.92000000004</v>
      </c>
      <c r="Q74" s="37">
        <f>IF(OR(G74="", G74="No Results"),  "", SUMIFS('Non-State'!CG:CG, 'Non-State'!C:C, $G74))</f>
        <v>0</v>
      </c>
    </row>
    <row r="75" spans="6:17" x14ac:dyDescent="0.25">
      <c r="F75" s="66">
        <f t="shared" si="4"/>
        <v>38</v>
      </c>
      <c r="G75" s="66" t="str">
        <f>IF(OR(F75="", F75="No Results"),  "", INDEX('Non-State'!C:C, MATCH($F75, 'Non-State'!B:B, 0)))</f>
        <v>112697102</v>
      </c>
      <c r="H75" s="66" t="str">
        <f>IF(OR(F75="", F75="No Results"), "", INDEX('Non-State'!E:E, MATCH($G75, 'Non-State'!$C:$C, 0)))</f>
        <v>1689650616</v>
      </c>
      <c r="I75" s="67" t="str">
        <f>IF(OR(G75="", G75="No Results"), "", INDEX('Non-State'!F:F, MATCH($G75, 'Non-State'!$C:$C, 0)))</f>
        <v>Chi St. Luke'S Health Memorial Livingston</v>
      </c>
      <c r="J75" s="37">
        <f>IF(G75="", "", SUMIFS('Non-State'!CH:CH, 'Non-State'!C:C, $G75))</f>
        <v>3474770.2399999998</v>
      </c>
      <c r="K75" s="37">
        <f>IF(G75="", "", SUMIFS('Non-State'!BG:BG, 'Non-State'!$C:$C, $G75))</f>
        <v>0</v>
      </c>
      <c r="L75" s="37">
        <f>IF(G75="", "",  SUMIFS('Non-State'!BL:BL, 'Non-State'!$C:$C, $G75)+SUMIFS('Non-State'!CA:CA, 'Non-State'!$C:$C, $G75))</f>
        <v>2755545.63</v>
      </c>
      <c r="M75" s="37">
        <f>IF(G75="", "", SUMIFS('Non-State'!BD:BD, 'Non-State'!$C:$C, $G75))</f>
        <v>0</v>
      </c>
      <c r="N75" s="37">
        <f>IF(G75="", "", SUMIFS('Non-State'!BH:BH, 'Non-State'!$C:$C, $G75))</f>
        <v>0</v>
      </c>
      <c r="O75" s="37">
        <f>IF(G75="","",SUMIFS('Non-State'!BO:BO,'Non-State'!$C:$C,$G75)-SUMIFS('Non-State'!BN:BN,'Non-State'!$C:$C,$G75))</f>
        <v>0</v>
      </c>
      <c r="P75" s="37">
        <f>IF(OR(F75="", F75="No Results"),  "", SUMIFS('Non-State'!CF:CF, 'Non-State'!C:C, $G75)+SUMIFS('Non-State'!CG:CG, 'Non-State'!C:C, $G75))</f>
        <v>719224.61</v>
      </c>
      <c r="Q75" s="37">
        <f>IF(OR(G75="", G75="No Results"),  "", SUMIFS('Non-State'!CG:CG, 'Non-State'!C:C, $G75))</f>
        <v>0</v>
      </c>
    </row>
    <row r="76" spans="6:17" x14ac:dyDescent="0.25">
      <c r="F76" s="66">
        <f t="shared" si="4"/>
        <v>39</v>
      </c>
      <c r="G76" s="66" t="str">
        <f>IF(OR(F76="", F76="No Results"),  "", INDEX('Non-State'!C:C, MATCH($F76, 'Non-State'!B:B, 0)))</f>
        <v>112704504</v>
      </c>
      <c r="H76" s="66" t="str">
        <f>IF(OR(F76="", F76="No Results"), "", INDEX('Non-State'!E:E, MATCH($G76, 'Non-State'!$C:$C, 0)))</f>
        <v>1245237593</v>
      </c>
      <c r="I76" s="67" t="str">
        <f>IF(OR(G76="", G76="No Results"), "", INDEX('Non-State'!F:F, MATCH($G76, 'Non-State'!$C:$C, 0)))</f>
        <v>Ochiltree General Hospital</v>
      </c>
      <c r="J76" s="37">
        <f>IF(G76="", "", SUMIFS('Non-State'!CH:CH, 'Non-State'!C:C, $G76))</f>
        <v>966664.29</v>
      </c>
      <c r="K76" s="37">
        <f>IF(G76="", "", SUMIFS('Non-State'!BG:BG, 'Non-State'!$C:$C, $G76))</f>
        <v>0</v>
      </c>
      <c r="L76" s="37">
        <f>IF(G76="", "",  SUMIFS('Non-State'!BL:BL, 'Non-State'!$C:$C, $G76)+SUMIFS('Non-State'!CA:CA, 'Non-State'!$C:$C, $G76))</f>
        <v>966664.29</v>
      </c>
      <c r="M76" s="37">
        <f>IF(G76="", "", SUMIFS('Non-State'!BD:BD, 'Non-State'!$C:$C, $G76))</f>
        <v>339589.16680463532</v>
      </c>
      <c r="N76" s="37">
        <f>IF(G76="", "", SUMIFS('Non-State'!BH:BH, 'Non-State'!$C:$C, $G76))</f>
        <v>0</v>
      </c>
      <c r="O76" s="37">
        <f>IF(G76="","",SUMIFS('Non-State'!BO:BO,'Non-State'!$C:$C,$G76)-SUMIFS('Non-State'!BN:BN,'Non-State'!$C:$C,$G76))</f>
        <v>339589.17</v>
      </c>
      <c r="P76" s="37">
        <f>IF(OR(F76="", F76="No Results"),  "", SUMIFS('Non-State'!CF:CF, 'Non-State'!C:C, $G76)+SUMIFS('Non-State'!CG:CG, 'Non-State'!C:C, $G76))</f>
        <v>0</v>
      </c>
      <c r="Q76" s="37">
        <f>IF(OR(G76="", G76="No Results"),  "", SUMIFS('Non-State'!CG:CG, 'Non-State'!C:C, $G76))</f>
        <v>0</v>
      </c>
    </row>
    <row r="77" spans="6:17" x14ac:dyDescent="0.25">
      <c r="F77" s="66">
        <f t="shared" si="4"/>
        <v>40</v>
      </c>
      <c r="G77" s="66" t="str">
        <f>IF(OR(F77="", F77="No Results"),  "", INDEX('Non-State'!C:C, MATCH($F77, 'Non-State'!B:B, 0)))</f>
        <v>112711003</v>
      </c>
      <c r="H77" s="66" t="str">
        <f>IF(OR(F77="", F77="No Results"), "", INDEX('Non-State'!E:E, MATCH($G77, 'Non-State'!$C:$C, 0)))</f>
        <v>1801852736</v>
      </c>
      <c r="I77" s="67" t="str">
        <f>IF(OR(G77="", G77="No Results"), "", INDEX('Non-State'!F:F, MATCH($G77, 'Non-State'!$C:$C, 0)))</f>
        <v>Odessa Regional Medical Center</v>
      </c>
      <c r="J77" s="37">
        <f>IF(G77="", "", SUMIFS('Non-State'!CH:CH, 'Non-State'!C:C, $G77))</f>
        <v>2219708.37</v>
      </c>
      <c r="K77" s="37">
        <f>IF(G77="", "", SUMIFS('Non-State'!BG:BG, 'Non-State'!$C:$C, $G77))</f>
        <v>0</v>
      </c>
      <c r="L77" s="37">
        <f>IF(G77="", "",  SUMIFS('Non-State'!BL:BL, 'Non-State'!$C:$C, $G77)+SUMIFS('Non-State'!CA:CA, 'Non-State'!$C:$C, $G77))</f>
        <v>2219708.37</v>
      </c>
      <c r="M77" s="37">
        <f>IF(G77="", "", SUMIFS('Non-State'!BD:BD, 'Non-State'!$C:$C, $G77))</f>
        <v>0</v>
      </c>
      <c r="N77" s="37">
        <f>IF(G77="", "", SUMIFS('Non-State'!BH:BH, 'Non-State'!$C:$C, $G77))</f>
        <v>0</v>
      </c>
      <c r="O77" s="37">
        <f>IF(G77="","",SUMIFS('Non-State'!BO:BO,'Non-State'!$C:$C,$G77)-SUMIFS('Non-State'!BN:BN,'Non-State'!$C:$C,$G77))</f>
        <v>0</v>
      </c>
      <c r="P77" s="37">
        <f>IF(OR(F77="", F77="No Results"),  "", SUMIFS('Non-State'!CF:CF, 'Non-State'!C:C, $G77)+SUMIFS('Non-State'!CG:CG, 'Non-State'!C:C, $G77))</f>
        <v>0</v>
      </c>
      <c r="Q77" s="37">
        <f>IF(OR(G77="", G77="No Results"),  "", SUMIFS('Non-State'!CG:CG, 'Non-State'!C:C, $G77))</f>
        <v>0</v>
      </c>
    </row>
    <row r="78" spans="6:17" x14ac:dyDescent="0.25">
      <c r="F78" s="66">
        <f t="shared" si="4"/>
        <v>41</v>
      </c>
      <c r="G78" s="66" t="str">
        <f>IF(OR(F78="", F78="No Results"),  "", INDEX('Non-State'!C:C, MATCH($F78, 'Non-State'!B:B, 0)))</f>
        <v>112716902</v>
      </c>
      <c r="H78" s="66" t="str">
        <f>IF(OR(F78="", F78="No Results"), "", INDEX('Non-State'!E:E, MATCH($G78, 'Non-State'!$C:$C, 0)))</f>
        <v>1619924719</v>
      </c>
      <c r="I78" s="67" t="str">
        <f>IF(OR(G78="", G78="No Results"), "", INDEX('Non-State'!F:F, MATCH($G78, 'Non-State'!$C:$C, 0)))</f>
        <v>Rio Grande Regional Hospital</v>
      </c>
      <c r="J78" s="37">
        <f>IF(G78="", "", SUMIFS('Non-State'!CH:CH, 'Non-State'!C:C, $G78))</f>
        <v>6000000</v>
      </c>
      <c r="K78" s="37">
        <f>IF(G78="", "", SUMIFS('Non-State'!BG:BG, 'Non-State'!$C:$C, $G78))</f>
        <v>0</v>
      </c>
      <c r="L78" s="37">
        <f>IF(G78="", "",  SUMIFS('Non-State'!BL:BL, 'Non-State'!$C:$C, $G78)+SUMIFS('Non-State'!CA:CA, 'Non-State'!$C:$C, $G78))</f>
        <v>6000000</v>
      </c>
      <c r="M78" s="37">
        <f>IF(G78="", "", SUMIFS('Non-State'!BD:BD, 'Non-State'!$C:$C, $G78))</f>
        <v>0</v>
      </c>
      <c r="N78" s="37">
        <f>IF(G78="", "", SUMIFS('Non-State'!BH:BH, 'Non-State'!$C:$C, $G78))</f>
        <v>0</v>
      </c>
      <c r="O78" s="37">
        <f>IF(G78="","",SUMIFS('Non-State'!BO:BO,'Non-State'!$C:$C,$G78)-SUMIFS('Non-State'!BN:BN,'Non-State'!$C:$C,$G78))</f>
        <v>0</v>
      </c>
      <c r="P78" s="37">
        <f>IF(OR(F78="", F78="No Results"),  "", SUMIFS('Non-State'!CF:CF, 'Non-State'!C:C, $G78)+SUMIFS('Non-State'!CG:CG, 'Non-State'!C:C, $G78))</f>
        <v>0</v>
      </c>
      <c r="Q78" s="37">
        <f>IF(OR(G78="", G78="No Results"),  "", SUMIFS('Non-State'!CG:CG, 'Non-State'!C:C, $G78))</f>
        <v>0</v>
      </c>
    </row>
    <row r="79" spans="6:17" x14ac:dyDescent="0.25">
      <c r="F79" s="66">
        <f t="shared" si="4"/>
        <v>42</v>
      </c>
      <c r="G79" s="66" t="str">
        <f>IF(OR(F79="", F79="No Results"),  "", INDEX('Non-State'!C:C, MATCH($F79, 'Non-State'!B:B, 0)))</f>
        <v>112724302</v>
      </c>
      <c r="H79" s="66" t="str">
        <f>IF(OR(F79="", F79="No Results"), "", INDEX('Non-State'!E:E, MATCH($G79, 'Non-State'!$C:$C, 0)))</f>
        <v>1811942238</v>
      </c>
      <c r="I79" s="67" t="str">
        <f>IF(OR(G79="", G79="No Results"), "", INDEX('Non-State'!F:F, MATCH($G79, 'Non-State'!$C:$C, 0)))</f>
        <v>HCA Houston Healthcare Kingwood</v>
      </c>
      <c r="J79" s="37">
        <f>IF(G79="", "", SUMIFS('Non-State'!CH:CH, 'Non-State'!C:C, $G79))</f>
        <v>8000000</v>
      </c>
      <c r="K79" s="37">
        <f>IF(G79="", "", SUMIFS('Non-State'!BG:BG, 'Non-State'!$C:$C, $G79))</f>
        <v>0</v>
      </c>
      <c r="L79" s="37">
        <f>IF(G79="", "",  SUMIFS('Non-State'!BL:BL, 'Non-State'!$C:$C, $G79)+SUMIFS('Non-State'!CA:CA, 'Non-State'!$C:$C, $G79))</f>
        <v>8000000</v>
      </c>
      <c r="M79" s="37">
        <f>IF(G79="", "", SUMIFS('Non-State'!BD:BD, 'Non-State'!$C:$C, $G79))</f>
        <v>0</v>
      </c>
      <c r="N79" s="37">
        <f>IF(G79="", "", SUMIFS('Non-State'!BH:BH, 'Non-State'!$C:$C, $G79))</f>
        <v>0</v>
      </c>
      <c r="O79" s="37">
        <f>IF(G79="","",SUMIFS('Non-State'!BO:BO,'Non-State'!$C:$C,$G79)-SUMIFS('Non-State'!BN:BN,'Non-State'!$C:$C,$G79))</f>
        <v>0</v>
      </c>
      <c r="P79" s="37">
        <f>IF(OR(F79="", F79="No Results"),  "", SUMIFS('Non-State'!CF:CF, 'Non-State'!C:C, $G79)+SUMIFS('Non-State'!CG:CG, 'Non-State'!C:C, $G79))</f>
        <v>0</v>
      </c>
      <c r="Q79" s="37">
        <f>IF(OR(G79="", G79="No Results"),  "", SUMIFS('Non-State'!CG:CG, 'Non-State'!C:C, $G79))</f>
        <v>0</v>
      </c>
    </row>
    <row r="80" spans="6:17" x14ac:dyDescent="0.25">
      <c r="F80" s="66">
        <f t="shared" si="4"/>
        <v>43</v>
      </c>
      <c r="G80" s="66" t="str">
        <f>IF(OR(F80="", F80="No Results"),  "", INDEX('Non-State'!C:C, MATCH($F80, 'Non-State'!B:B, 0)))</f>
        <v>112742503</v>
      </c>
      <c r="H80" s="66" t="str">
        <f>IF(OR(F80="", F80="No Results"), "", INDEX('Non-State'!E:E, MATCH($G80, 'Non-State'!$C:$C, 0)))</f>
        <v>1326015595</v>
      </c>
      <c r="I80" s="67" t="str">
        <f>IF(OR(G80="", G80="No Results"), "", INDEX('Non-State'!F:F, MATCH($G80, 'Non-State'!$C:$C, 0)))</f>
        <v>Clarity Child Guidance Center</v>
      </c>
      <c r="J80" s="37">
        <f>IF(G80="", "", SUMIFS('Non-State'!CH:CH, 'Non-State'!C:C, $G80))</f>
        <v>808361.09</v>
      </c>
      <c r="K80" s="37">
        <f>IF(G80="", "", SUMIFS('Non-State'!BG:BG, 'Non-State'!$C:$C, $G80))</f>
        <v>0</v>
      </c>
      <c r="L80" s="37">
        <f>IF(G80="", "",  SUMIFS('Non-State'!BL:BL, 'Non-State'!$C:$C, $G80)+SUMIFS('Non-State'!CA:CA, 'Non-State'!$C:$C, $G80))</f>
        <v>808361.09</v>
      </c>
      <c r="M80" s="37">
        <f>IF(G80="", "", SUMIFS('Non-State'!BD:BD, 'Non-State'!$C:$C, $G80))</f>
        <v>0</v>
      </c>
      <c r="N80" s="37">
        <f>IF(G80="", "", SUMIFS('Non-State'!BH:BH, 'Non-State'!$C:$C, $G80))</f>
        <v>0</v>
      </c>
      <c r="O80" s="37">
        <f>IF(G80="","",SUMIFS('Non-State'!BO:BO,'Non-State'!$C:$C,$G80)-SUMIFS('Non-State'!BN:BN,'Non-State'!$C:$C,$G80))</f>
        <v>0</v>
      </c>
      <c r="P80" s="37">
        <f>IF(OR(F80="", F80="No Results"),  "", SUMIFS('Non-State'!CF:CF, 'Non-State'!C:C, $G80)+SUMIFS('Non-State'!CG:CG, 'Non-State'!C:C, $G80))</f>
        <v>0</v>
      </c>
      <c r="Q80" s="37">
        <f>IF(OR(G80="", G80="No Results"),  "", SUMIFS('Non-State'!CG:CG, 'Non-State'!C:C, $G80))</f>
        <v>0</v>
      </c>
    </row>
    <row r="81" spans="6:17" x14ac:dyDescent="0.25">
      <c r="F81" s="66">
        <f t="shared" si="4"/>
        <v>44</v>
      </c>
      <c r="G81" s="66" t="str">
        <f>IF(OR(F81="", F81="No Results"),  "", INDEX('Non-State'!C:C, MATCH($F81, 'Non-State'!B:B, 0)))</f>
        <v>112745802</v>
      </c>
      <c r="H81" s="66" t="str">
        <f>IF(OR(F81="", F81="No Results"), "", INDEX('Non-State'!E:E, MATCH($G81, 'Non-State'!$C:$C, 0)))</f>
        <v>1518937218</v>
      </c>
      <c r="I81" s="67" t="str">
        <f>IF(OR(G81="", G81="No Results"), "", INDEX('Non-State'!F:F, MATCH($G81, 'Non-State'!$C:$C, 0)))</f>
        <v>River Crest Hospital</v>
      </c>
      <c r="J81" s="37">
        <f>IF(G81="", "", SUMIFS('Non-State'!CH:CH, 'Non-State'!C:C, $G81))</f>
        <v>2267546.5099999998</v>
      </c>
      <c r="K81" s="37">
        <f>IF(G81="", "", SUMIFS('Non-State'!BG:BG, 'Non-State'!$C:$C, $G81))</f>
        <v>0</v>
      </c>
      <c r="L81" s="37">
        <f>IF(G81="", "",  SUMIFS('Non-State'!BL:BL, 'Non-State'!$C:$C, $G81)+SUMIFS('Non-State'!CA:CA, 'Non-State'!$C:$C, $G81))</f>
        <v>2267546.5099999998</v>
      </c>
      <c r="M81" s="37">
        <f>IF(G81="", "", SUMIFS('Non-State'!BD:BD, 'Non-State'!$C:$C, $G81))</f>
        <v>0</v>
      </c>
      <c r="N81" s="37">
        <f>IF(G81="", "", SUMIFS('Non-State'!BH:BH, 'Non-State'!$C:$C, $G81))</f>
        <v>0</v>
      </c>
      <c r="O81" s="37">
        <f>IF(G81="","",SUMIFS('Non-State'!BO:BO,'Non-State'!$C:$C,$G81)-SUMIFS('Non-State'!BN:BN,'Non-State'!$C:$C,$G81))</f>
        <v>0</v>
      </c>
      <c r="P81" s="37">
        <f>IF(OR(F81="", F81="No Results"),  "", SUMIFS('Non-State'!CF:CF, 'Non-State'!C:C, $G81)+SUMIFS('Non-State'!CG:CG, 'Non-State'!C:C, $G81))</f>
        <v>0</v>
      </c>
      <c r="Q81" s="37">
        <f>IF(OR(G81="", G81="No Results"),  "", SUMIFS('Non-State'!CG:CG, 'Non-State'!C:C, $G81))</f>
        <v>0</v>
      </c>
    </row>
    <row r="82" spans="6:17" x14ac:dyDescent="0.25">
      <c r="F82" s="66">
        <f t="shared" si="4"/>
        <v>45</v>
      </c>
      <c r="G82" s="66" t="str">
        <f>IF(OR(F82="", F82="No Results"),  "", INDEX('Non-State'!C:C, MATCH($F82, 'Non-State'!B:B, 0)))</f>
        <v>112746602</v>
      </c>
      <c r="H82" s="66" t="str">
        <f>IF(OR(F82="", F82="No Results"), "", INDEX('Non-State'!E:E, MATCH($G82, 'Non-State'!$C:$C, 0)))</f>
        <v>1922078815</v>
      </c>
      <c r="I82" s="67" t="str">
        <f>IF(OR(G82="", G82="No Results"), "", INDEX('Non-State'!F:F, MATCH($G82, 'Non-State'!$C:$C, 0)))</f>
        <v>Glen Oaks Hospital</v>
      </c>
      <c r="J82" s="37">
        <f>IF(G82="", "", SUMIFS('Non-State'!CH:CH, 'Non-State'!C:C, $G82))</f>
        <v>2095327.6</v>
      </c>
      <c r="K82" s="37">
        <f>IF(G82="", "", SUMIFS('Non-State'!BG:BG, 'Non-State'!$C:$C, $G82))</f>
        <v>0</v>
      </c>
      <c r="L82" s="37">
        <f>IF(G82="", "",  SUMIFS('Non-State'!BL:BL, 'Non-State'!$C:$C, $G82)+SUMIFS('Non-State'!CA:CA, 'Non-State'!$C:$C, $G82))</f>
        <v>2095327.6</v>
      </c>
      <c r="M82" s="37">
        <f>IF(G82="", "", SUMIFS('Non-State'!BD:BD, 'Non-State'!$C:$C, $G82))</f>
        <v>0</v>
      </c>
      <c r="N82" s="37">
        <f>IF(G82="", "", SUMIFS('Non-State'!BH:BH, 'Non-State'!$C:$C, $G82))</f>
        <v>0</v>
      </c>
      <c r="O82" s="37">
        <f>IF(G82="","",SUMIFS('Non-State'!BO:BO,'Non-State'!$C:$C,$G82)-SUMIFS('Non-State'!BN:BN,'Non-State'!$C:$C,$G82))</f>
        <v>0</v>
      </c>
      <c r="P82" s="37">
        <f>IF(OR(F82="", F82="No Results"),  "", SUMIFS('Non-State'!CF:CF, 'Non-State'!C:C, $G82)+SUMIFS('Non-State'!CG:CG, 'Non-State'!C:C, $G82))</f>
        <v>0</v>
      </c>
      <c r="Q82" s="37">
        <f>IF(OR(G82="", G82="No Results"),  "", SUMIFS('Non-State'!CG:CG, 'Non-State'!C:C, $G82))</f>
        <v>0</v>
      </c>
    </row>
    <row r="83" spans="6:17" x14ac:dyDescent="0.25">
      <c r="F83" s="66">
        <f t="shared" si="4"/>
        <v>46</v>
      </c>
      <c r="G83" s="66" t="str">
        <f>IF(OR(F83="", F83="No Results"),  "", INDEX('Non-State'!C:C, MATCH($F83, 'Non-State'!B:B, 0)))</f>
        <v>119874904</v>
      </c>
      <c r="H83" s="66" t="str">
        <f>IF(OR(F83="", F83="No Results"), "", INDEX('Non-State'!E:E, MATCH($G83, 'Non-State'!$C:$C, 0)))</f>
        <v>1790777696</v>
      </c>
      <c r="I83" s="67" t="str">
        <f>IF(OR(G83="", G83="No Results"), "", INDEX('Non-State'!F:F, MATCH($G83, 'Non-State'!$C:$C, 0)))</f>
        <v>Faith Community Hospital</v>
      </c>
      <c r="J83" s="37">
        <f>IF(G83="", "", SUMIFS('Non-State'!CH:CH, 'Non-State'!C:C, $G83))</f>
        <v>1665322.08</v>
      </c>
      <c r="K83" s="37">
        <f>IF(G83="", "", SUMIFS('Non-State'!BG:BG, 'Non-State'!$C:$C, $G83))</f>
        <v>0</v>
      </c>
      <c r="L83" s="37">
        <f>IF(G83="", "",  SUMIFS('Non-State'!BL:BL, 'Non-State'!$C:$C, $G83)+SUMIFS('Non-State'!CA:CA, 'Non-State'!$C:$C, $G83))</f>
        <v>1665322.08</v>
      </c>
      <c r="M83" s="37">
        <f>IF(G83="", "", SUMIFS('Non-State'!BD:BD, 'Non-State'!$C:$C, $G83))</f>
        <v>585027.64538787375</v>
      </c>
      <c r="N83" s="37">
        <f>IF(G83="", "", SUMIFS('Non-State'!BH:BH, 'Non-State'!$C:$C, $G83))</f>
        <v>0</v>
      </c>
      <c r="O83" s="37">
        <f>IF(G83="","",SUMIFS('Non-State'!BO:BO,'Non-State'!$C:$C,$G83)-SUMIFS('Non-State'!BN:BN,'Non-State'!$C:$C,$G83))</f>
        <v>585027.65</v>
      </c>
      <c r="P83" s="37">
        <f>IF(OR(F83="", F83="No Results"),  "", SUMIFS('Non-State'!CF:CF, 'Non-State'!C:C, $G83)+SUMIFS('Non-State'!CG:CG, 'Non-State'!C:C, $G83))</f>
        <v>0</v>
      </c>
      <c r="Q83" s="37">
        <f>IF(OR(G83="", G83="No Results"),  "", SUMIFS('Non-State'!CG:CG, 'Non-State'!C:C, $G83))</f>
        <v>0</v>
      </c>
    </row>
    <row r="84" spans="6:17" x14ac:dyDescent="0.25">
      <c r="F84" s="66">
        <f t="shared" si="4"/>
        <v>47</v>
      </c>
      <c r="G84" s="66" t="str">
        <f>IF(OR(F84="", F84="No Results"),  "", INDEX('Non-State'!C:C, MATCH($F84, 'Non-State'!B:B, 0)))</f>
        <v>119877204</v>
      </c>
      <c r="H84" s="66" t="str">
        <f>IF(OR(F84="", F84="No Results"), "", INDEX('Non-State'!E:E, MATCH($G84, 'Non-State'!$C:$C, 0)))</f>
        <v>1104830900</v>
      </c>
      <c r="I84" s="67" t="str">
        <f>IF(OR(G84="", G84="No Results"), "", INDEX('Non-State'!F:F, MATCH($G84, 'Non-State'!$C:$C, 0)))</f>
        <v>Val Verde Regional Medical Center</v>
      </c>
      <c r="J84" s="37">
        <f>IF(G84="", "", SUMIFS('Non-State'!CH:CH, 'Non-State'!C:C, $G84))</f>
        <v>5140453.71</v>
      </c>
      <c r="K84" s="37">
        <f>IF(G84="", "", SUMIFS('Non-State'!BG:BG, 'Non-State'!$C:$C, $G84))</f>
        <v>0</v>
      </c>
      <c r="L84" s="37">
        <f>IF(G84="", "",  SUMIFS('Non-State'!BL:BL, 'Non-State'!$C:$C, $G84)+SUMIFS('Non-State'!CA:CA, 'Non-State'!$C:$C, $G84))</f>
        <v>5140453.71</v>
      </c>
      <c r="M84" s="37">
        <f>IF(G84="", "", SUMIFS('Non-State'!BD:BD, 'Non-State'!$C:$C, $G84))</f>
        <v>1805841.3877575463</v>
      </c>
      <c r="N84" s="37">
        <f>IF(G84="", "", SUMIFS('Non-State'!BH:BH, 'Non-State'!$C:$C, $G84))</f>
        <v>0</v>
      </c>
      <c r="O84" s="37">
        <f>IF(G84="","",SUMIFS('Non-State'!BO:BO,'Non-State'!$C:$C,$G84)-SUMIFS('Non-State'!BN:BN,'Non-State'!$C:$C,$G84))</f>
        <v>1805841.39</v>
      </c>
      <c r="P84" s="37">
        <f>IF(OR(F84="", F84="No Results"),  "", SUMIFS('Non-State'!CF:CF, 'Non-State'!C:C, $G84)+SUMIFS('Non-State'!CG:CG, 'Non-State'!C:C, $G84))</f>
        <v>0</v>
      </c>
      <c r="Q84" s="37">
        <f>IF(OR(G84="", G84="No Results"),  "", SUMIFS('Non-State'!CG:CG, 'Non-State'!C:C, $G84))</f>
        <v>0</v>
      </c>
    </row>
    <row r="85" spans="6:17" x14ac:dyDescent="0.25">
      <c r="F85" s="66">
        <f t="shared" si="4"/>
        <v>48</v>
      </c>
      <c r="G85" s="66" t="str">
        <f>IF(OR(F85="", F85="No Results"),  "", INDEX('Non-State'!C:C, MATCH($F85, 'Non-State'!B:B, 0)))</f>
        <v>121775403</v>
      </c>
      <c r="H85" s="66" t="str">
        <f>IF(OR(F85="", F85="No Results"), "", INDEX('Non-State'!E:E, MATCH($G85, 'Non-State'!$C:$C, 0)))</f>
        <v>1689641680</v>
      </c>
      <c r="I85" s="67" t="str">
        <f>IF(OR(G85="", G85="No Results"), "", INDEX('Non-State'!F:F, MATCH($G85, 'Non-State'!$C:$C, 0)))</f>
        <v>Christus Spohn Hospital Corpus Christi</v>
      </c>
      <c r="J85" s="37">
        <f>IF(G85="", "", SUMIFS('Non-State'!CH:CH, 'Non-State'!C:C, $G85))</f>
        <v>47907943.560000002</v>
      </c>
      <c r="K85" s="37">
        <f>IF(G85="", "", SUMIFS('Non-State'!BG:BG, 'Non-State'!$C:$C, $G85))</f>
        <v>0</v>
      </c>
      <c r="L85" s="37">
        <f>IF(G85="", "",  SUMIFS('Non-State'!BL:BL, 'Non-State'!$C:$C, $G85)+SUMIFS('Non-State'!CA:CA, 'Non-State'!$C:$C, $G85))</f>
        <v>47907943.560000002</v>
      </c>
      <c r="M85" s="37">
        <f>IF(G85="", "", SUMIFS('Non-State'!BD:BD, 'Non-State'!$C:$C, $G85))</f>
        <v>0</v>
      </c>
      <c r="N85" s="37">
        <f>IF(G85="", "", SUMIFS('Non-State'!BH:BH, 'Non-State'!$C:$C, $G85))</f>
        <v>0</v>
      </c>
      <c r="O85" s="37">
        <f>IF(G85="","",SUMIFS('Non-State'!BO:BO,'Non-State'!$C:$C,$G85)-SUMIFS('Non-State'!BN:BN,'Non-State'!$C:$C,$G85))</f>
        <v>0</v>
      </c>
      <c r="P85" s="37">
        <f>IF(OR(F85="", F85="No Results"),  "", SUMIFS('Non-State'!CF:CF, 'Non-State'!C:C, $G85)+SUMIFS('Non-State'!CG:CG, 'Non-State'!C:C, $G85))</f>
        <v>0</v>
      </c>
      <c r="Q85" s="37">
        <f>IF(OR(G85="", G85="No Results"),  "", SUMIFS('Non-State'!CG:CG, 'Non-State'!C:C, $G85))</f>
        <v>0</v>
      </c>
    </row>
    <row r="86" spans="6:17" x14ac:dyDescent="0.25">
      <c r="F86" s="66">
        <f t="shared" si="4"/>
        <v>49</v>
      </c>
      <c r="G86" s="66" t="str">
        <f>IF(OR(F86="", F86="No Results"),  "", INDEX('Non-State'!C:C, MATCH($F86, 'Non-State'!B:B, 0)))</f>
        <v>121782009</v>
      </c>
      <c r="H86" s="66" t="str">
        <f>IF(OR(F86="", F86="No Results"), "", INDEX('Non-State'!E:E, MATCH($G86, 'Non-State'!$C:$C, 0)))</f>
        <v>1740288505</v>
      </c>
      <c r="I86" s="67" t="str">
        <f>IF(OR(G86="", G86="No Results"), "", INDEX('Non-State'!F:F, MATCH($G86, 'Non-State'!$C:$C, 0)))</f>
        <v>Uvalde Memorial Hospital</v>
      </c>
      <c r="J86" s="37">
        <f>IF(G86="", "", SUMIFS('Non-State'!CH:CH, 'Non-State'!C:C, $G86))</f>
        <v>5693558.3799999999</v>
      </c>
      <c r="K86" s="37">
        <f>IF(G86="", "", SUMIFS('Non-State'!BG:BG, 'Non-State'!$C:$C, $G86))</f>
        <v>0</v>
      </c>
      <c r="L86" s="37">
        <f>IF(G86="", "",  SUMIFS('Non-State'!BL:BL, 'Non-State'!$C:$C, $G86)+SUMIFS('Non-State'!CA:CA, 'Non-State'!$C:$C, $G86))</f>
        <v>5693558.3799999999</v>
      </c>
      <c r="M86" s="37">
        <f>IF(G86="", "", SUMIFS('Non-State'!BD:BD, 'Non-State'!$C:$C, $G86))</f>
        <v>2000147.0603768537</v>
      </c>
      <c r="N86" s="37">
        <f>IF(G86="", "", SUMIFS('Non-State'!BH:BH, 'Non-State'!$C:$C, $G86))</f>
        <v>0</v>
      </c>
      <c r="O86" s="37">
        <f>IF(G86="","",SUMIFS('Non-State'!BO:BO,'Non-State'!$C:$C,$G86)-SUMIFS('Non-State'!BN:BN,'Non-State'!$C:$C,$G86))</f>
        <v>2000147.06</v>
      </c>
      <c r="P86" s="37">
        <f>IF(OR(F86="", F86="No Results"),  "", SUMIFS('Non-State'!CF:CF, 'Non-State'!C:C, $G86)+SUMIFS('Non-State'!CG:CG, 'Non-State'!C:C, $G86))</f>
        <v>0</v>
      </c>
      <c r="Q86" s="37">
        <f>IF(OR(G86="", G86="No Results"),  "", SUMIFS('Non-State'!CG:CG, 'Non-State'!C:C, $G86))</f>
        <v>0</v>
      </c>
    </row>
    <row r="87" spans="6:17" x14ac:dyDescent="0.25">
      <c r="F87" s="66">
        <f t="shared" si="4"/>
        <v>50</v>
      </c>
      <c r="G87" s="66" t="str">
        <f>IF(OR(F87="", F87="No Results"),  "", INDEX('Non-State'!C:C, MATCH($F87, 'Non-State'!B:B, 0)))</f>
        <v>121785303</v>
      </c>
      <c r="H87" s="66" t="str">
        <f>IF(OR(F87="", F87="No Results"), "", INDEX('Non-State'!E:E, MATCH($G87, 'Non-State'!$C:$C, 0)))</f>
        <v>1932108214</v>
      </c>
      <c r="I87" s="67" t="str">
        <f>IF(OR(G87="", G87="No Results"), "", INDEX('Non-State'!F:F, MATCH($G87, 'Non-State'!$C:$C, 0)))</f>
        <v>Gonzales Healthcare Systems</v>
      </c>
      <c r="J87" s="37">
        <f>IF(G87="", "", SUMIFS('Non-State'!CH:CH, 'Non-State'!C:C, $G87))</f>
        <v>3608802.23</v>
      </c>
      <c r="K87" s="37">
        <f>IF(G87="", "", SUMIFS('Non-State'!BG:BG, 'Non-State'!$C:$C, $G87))</f>
        <v>0</v>
      </c>
      <c r="L87" s="37">
        <f>IF(G87="", "",  SUMIFS('Non-State'!BL:BL, 'Non-State'!$C:$C, $G87)+SUMIFS('Non-State'!CA:CA, 'Non-State'!$C:$C, $G87))</f>
        <v>3608802.23</v>
      </c>
      <c r="M87" s="37">
        <f>IF(G87="", "", SUMIFS('Non-State'!BD:BD, 'Non-State'!$C:$C, $G87))</f>
        <v>1267772.2218706324</v>
      </c>
      <c r="N87" s="37">
        <f>IF(G87="", "", SUMIFS('Non-State'!BH:BH, 'Non-State'!$C:$C, $G87))</f>
        <v>0</v>
      </c>
      <c r="O87" s="37">
        <f>IF(G87="","",SUMIFS('Non-State'!BO:BO,'Non-State'!$C:$C,$G87)-SUMIFS('Non-State'!BN:BN,'Non-State'!$C:$C,$G87))</f>
        <v>1267772.22</v>
      </c>
      <c r="P87" s="37">
        <f>IF(OR(F87="", F87="No Results"),  "", SUMIFS('Non-State'!CF:CF, 'Non-State'!C:C, $G87)+SUMIFS('Non-State'!CG:CG, 'Non-State'!C:C, $G87))</f>
        <v>0</v>
      </c>
      <c r="Q87" s="37">
        <f>IF(OR(G87="", G87="No Results"),  "", SUMIFS('Non-State'!CG:CG, 'Non-State'!C:C, $G87))</f>
        <v>0</v>
      </c>
    </row>
    <row r="88" spans="6:17" x14ac:dyDescent="0.25">
      <c r="F88" s="66">
        <f t="shared" si="4"/>
        <v>51</v>
      </c>
      <c r="G88" s="66" t="str">
        <f>IF(OR(F88="", F88="No Results"),  "", INDEX('Non-State'!C:C, MATCH($F88, 'Non-State'!B:B, 0)))</f>
        <v>121807504</v>
      </c>
      <c r="H88" s="66" t="str">
        <f>IF(OR(F88="", F88="No Results"), "", INDEX('Non-State'!E:E, MATCH($G88, 'Non-State'!$C:$C, 0)))</f>
        <v>1063466035</v>
      </c>
      <c r="I88" s="67" t="str">
        <f>IF(OR(G88="", G88="No Results"), "", INDEX('Non-State'!F:F, MATCH($G88, 'Non-State'!$C:$C, 0)))</f>
        <v>HCA Houston Healthcare Clear Lake</v>
      </c>
      <c r="J88" s="37">
        <f>IF(G88="", "", SUMIFS('Non-State'!CH:CH, 'Non-State'!C:C, $G88))</f>
        <v>8000000</v>
      </c>
      <c r="K88" s="37">
        <f>IF(G88="", "", SUMIFS('Non-State'!BG:BG, 'Non-State'!$C:$C, $G88))</f>
        <v>0</v>
      </c>
      <c r="L88" s="37">
        <f>IF(G88="", "",  SUMIFS('Non-State'!BL:BL, 'Non-State'!$C:$C, $G88)+SUMIFS('Non-State'!CA:CA, 'Non-State'!$C:$C, $G88))</f>
        <v>8000000</v>
      </c>
      <c r="M88" s="37">
        <f>IF(G88="", "", SUMIFS('Non-State'!BD:BD, 'Non-State'!$C:$C, $G88))</f>
        <v>0</v>
      </c>
      <c r="N88" s="37">
        <f>IF(G88="", "", SUMIFS('Non-State'!BH:BH, 'Non-State'!$C:$C, $G88))</f>
        <v>0</v>
      </c>
      <c r="O88" s="37">
        <f>IF(G88="","",SUMIFS('Non-State'!BO:BO,'Non-State'!$C:$C,$G88)-SUMIFS('Non-State'!BN:BN,'Non-State'!$C:$C,$G88))</f>
        <v>0</v>
      </c>
      <c r="P88" s="37">
        <f>IF(OR(F88="", F88="No Results"),  "", SUMIFS('Non-State'!CF:CF, 'Non-State'!C:C, $G88)+SUMIFS('Non-State'!CG:CG, 'Non-State'!C:C, $G88))</f>
        <v>0</v>
      </c>
      <c r="Q88" s="37">
        <f>IF(OR(G88="", G88="No Results"),  "", SUMIFS('Non-State'!CG:CG, 'Non-State'!C:C, $G88))</f>
        <v>0</v>
      </c>
    </row>
    <row r="89" spans="6:17" x14ac:dyDescent="0.25">
      <c r="F89" s="66">
        <f t="shared" si="4"/>
        <v>52</v>
      </c>
      <c r="G89" s="66" t="str">
        <f>IF(OR(F89="", F89="No Results"),  "", INDEX('Non-State'!C:C, MATCH($F89, 'Non-State'!B:B, 0)))</f>
        <v>121816602</v>
      </c>
      <c r="H89" s="66" t="str">
        <f>IF(OR(F89="", F89="No Results"), "", INDEX('Non-State'!E:E, MATCH($G89, 'Non-State'!$C:$C, 0)))</f>
        <v>1164510673</v>
      </c>
      <c r="I89" s="67" t="str">
        <f>IF(OR(G89="", G89="No Results"), "", INDEX('Non-State'!F:F, MATCH($G89, 'Non-State'!$C:$C, 0)))</f>
        <v>Palestine Regional Medical Center</v>
      </c>
      <c r="J89" s="37">
        <f>IF(G89="", "", SUMIFS('Non-State'!CH:CH, 'Non-State'!C:C, $G89))</f>
        <v>7681615.71</v>
      </c>
      <c r="K89" s="37">
        <f>IF(G89="", "", SUMIFS('Non-State'!BG:BG, 'Non-State'!$C:$C, $G89))</f>
        <v>0</v>
      </c>
      <c r="L89" s="37">
        <f>IF(G89="", "",  SUMIFS('Non-State'!BL:BL, 'Non-State'!$C:$C, $G89)+SUMIFS('Non-State'!CA:CA, 'Non-State'!$C:$C, $G89))</f>
        <v>6000000</v>
      </c>
      <c r="M89" s="37">
        <f>IF(G89="", "", SUMIFS('Non-State'!BD:BD, 'Non-State'!$C:$C, $G89))</f>
        <v>0</v>
      </c>
      <c r="N89" s="37">
        <f>IF(G89="", "", SUMIFS('Non-State'!BH:BH, 'Non-State'!$C:$C, $G89))</f>
        <v>0</v>
      </c>
      <c r="O89" s="37">
        <f>IF(G89="","",SUMIFS('Non-State'!BO:BO,'Non-State'!$C:$C,$G89)-SUMIFS('Non-State'!BN:BN,'Non-State'!$C:$C,$G89))</f>
        <v>0</v>
      </c>
      <c r="P89" s="37">
        <f>IF(OR(F89="", F89="No Results"),  "", SUMIFS('Non-State'!CF:CF, 'Non-State'!C:C, $G89)+SUMIFS('Non-State'!CG:CG, 'Non-State'!C:C, $G89))</f>
        <v>1681615.71</v>
      </c>
      <c r="Q89" s="37">
        <f>IF(OR(G89="", G89="No Results"),  "", SUMIFS('Non-State'!CG:CG, 'Non-State'!C:C, $G89))</f>
        <v>0</v>
      </c>
    </row>
    <row r="90" spans="6:17" x14ac:dyDescent="0.25">
      <c r="F90" s="66">
        <f t="shared" si="4"/>
        <v>53</v>
      </c>
      <c r="G90" s="66" t="str">
        <f>IF(OR(F90="", F90="No Results"),  "", INDEX('Non-State'!C:C, MATCH($F90, 'Non-State'!B:B, 0)))</f>
        <v>121829905</v>
      </c>
      <c r="H90" s="66" t="str">
        <f>IF(OR(F90="", F90="No Results"), "", INDEX('Non-State'!E:E, MATCH($G90, 'Non-State'!$C:$C, 0)))</f>
        <v>1598764359</v>
      </c>
      <c r="I90" s="67" t="str">
        <f>IF(OR(G90="", G90="No Results"), "", INDEX('Non-State'!F:F, MATCH($G90, 'Non-State'!$C:$C, 0)))</f>
        <v xml:space="preserve">West Oak Hospital Inc </v>
      </c>
      <c r="J90" s="37">
        <f>IF(G90="", "", SUMIFS('Non-State'!CH:CH, 'Non-State'!C:C, $G90))</f>
        <v>189833.93</v>
      </c>
      <c r="K90" s="37">
        <f>IF(G90="", "", SUMIFS('Non-State'!BG:BG, 'Non-State'!$C:$C, $G90))</f>
        <v>0</v>
      </c>
      <c r="L90" s="37">
        <f>IF(G90="", "",  SUMIFS('Non-State'!BL:BL, 'Non-State'!$C:$C, $G90)+SUMIFS('Non-State'!CA:CA, 'Non-State'!$C:$C, $G90))</f>
        <v>189833.93</v>
      </c>
      <c r="M90" s="37">
        <f>IF(G90="", "", SUMIFS('Non-State'!BD:BD, 'Non-State'!$C:$C, $G90))</f>
        <v>0</v>
      </c>
      <c r="N90" s="37">
        <f>IF(G90="", "", SUMIFS('Non-State'!BH:BH, 'Non-State'!$C:$C, $G90))</f>
        <v>0</v>
      </c>
      <c r="O90" s="37">
        <f>IF(G90="","",SUMIFS('Non-State'!BO:BO,'Non-State'!$C:$C,$G90)-SUMIFS('Non-State'!BN:BN,'Non-State'!$C:$C,$G90))</f>
        <v>0</v>
      </c>
      <c r="P90" s="37">
        <f>IF(OR(F90="", F90="No Results"),  "", SUMIFS('Non-State'!CF:CF, 'Non-State'!C:C, $G90)+SUMIFS('Non-State'!CG:CG, 'Non-State'!C:C, $G90))</f>
        <v>0</v>
      </c>
      <c r="Q90" s="37">
        <f>IF(OR(G90="", G90="No Results"),  "", SUMIFS('Non-State'!CG:CG, 'Non-State'!C:C, $G90))</f>
        <v>0</v>
      </c>
    </row>
    <row r="91" spans="6:17" x14ac:dyDescent="0.25">
      <c r="F91" s="66">
        <f t="shared" si="4"/>
        <v>54</v>
      </c>
      <c r="G91" s="66" t="str">
        <f>IF(OR(F91="", F91="No Results"),  "", INDEX('Non-State'!C:C, MATCH($F91, 'Non-State'!B:B, 0)))</f>
        <v>126675104</v>
      </c>
      <c r="H91" s="66" t="str">
        <f>IF(OR(F91="", F91="No Results"), "", INDEX('Non-State'!E:E, MATCH($G91, 'Non-State'!$C:$C, 0)))</f>
        <v>1992753222</v>
      </c>
      <c r="I91" s="67" t="str">
        <f>IF(OR(G91="", G91="No Results"), "", INDEX('Non-State'!F:F, MATCH($G91, 'Non-State'!$C:$C, 0)))</f>
        <v>Jps Health Network</v>
      </c>
      <c r="J91" s="37">
        <f>IF(G91="", "", SUMIFS('Non-State'!CH:CH, 'Non-State'!C:C, $G91))</f>
        <v>224528485.0479621</v>
      </c>
      <c r="K91" s="37">
        <f>IF(G91="", "", SUMIFS('Non-State'!BG:BG, 'Non-State'!$C:$C, $G91))</f>
        <v>0</v>
      </c>
      <c r="L91" s="37">
        <f>IF(G91="", "",  SUMIFS('Non-State'!BL:BL, 'Non-State'!$C:$C, $G91)+SUMIFS('Non-State'!CA:CA, 'Non-State'!$C:$C, $G91))</f>
        <v>222755349.63</v>
      </c>
      <c r="M91" s="37">
        <f>IF(G91="", "", SUMIFS('Non-State'!BD:BD, 'Non-State'!$C:$C, $G91))</f>
        <v>125555712.1124374</v>
      </c>
      <c r="N91" s="37">
        <f>IF(G91="", "", SUMIFS('Non-State'!BH:BH, 'Non-State'!$C:$C, $G91))</f>
        <v>0</v>
      </c>
      <c r="O91" s="37">
        <f>IF(G91="","",SUMIFS('Non-State'!BO:BO,'Non-State'!$C:$C,$G91)-SUMIFS('Non-State'!BN:BN,'Non-State'!$C:$C,$G91))</f>
        <v>125555712.11</v>
      </c>
      <c r="P91" s="37">
        <f>IF(OR(F91="", F91="No Results"),  "", SUMIFS('Non-State'!CF:CF, 'Non-State'!C:C, $G91)+SUMIFS('Non-State'!CG:CG, 'Non-State'!C:C, $G91))</f>
        <v>1773135.417962109</v>
      </c>
      <c r="Q91" s="37">
        <f>IF(OR(G91="", G91="No Results"),  "", SUMIFS('Non-State'!CG:CG, 'Non-State'!C:C, $G91))</f>
        <v>1773135.417962109</v>
      </c>
    </row>
    <row r="92" spans="6:17" x14ac:dyDescent="0.25">
      <c r="F92" s="66">
        <f t="shared" si="4"/>
        <v>55</v>
      </c>
      <c r="G92" s="66" t="str">
        <f>IF(OR(F92="", F92="No Results"),  "", INDEX('Non-State'!C:C, MATCH($F92, 'Non-State'!B:B, 0)))</f>
        <v>127263503</v>
      </c>
      <c r="H92" s="66" t="str">
        <f>IF(OR(F92="", F92="No Results"), "", INDEX('Non-State'!E:E, MATCH($G92, 'Non-State'!$C:$C, 0)))</f>
        <v>1073580726</v>
      </c>
      <c r="I92" s="67" t="str">
        <f>IF(OR(G92="", G92="No Results"), "", INDEX('Non-State'!F:F, MATCH($G92, 'Non-State'!$C:$C, 0)))</f>
        <v>Covenant Hospital Plainview</v>
      </c>
      <c r="J92" s="37">
        <f>IF(G92="", "", SUMIFS('Non-State'!CH:CH, 'Non-State'!C:C, $G92))</f>
        <v>1349406.3399999999</v>
      </c>
      <c r="K92" s="37">
        <f>IF(G92="", "", SUMIFS('Non-State'!BG:BG, 'Non-State'!$C:$C, $G92))</f>
        <v>0</v>
      </c>
      <c r="L92" s="37">
        <f>IF(G92="", "",  SUMIFS('Non-State'!BL:BL, 'Non-State'!$C:$C, $G92)+SUMIFS('Non-State'!CA:CA, 'Non-State'!$C:$C, $G92))</f>
        <v>1070099.74</v>
      </c>
      <c r="M92" s="37">
        <f>IF(G92="", "", SUMIFS('Non-State'!BD:BD, 'Non-State'!$C:$C, $G92))</f>
        <v>0</v>
      </c>
      <c r="N92" s="37">
        <f>IF(G92="", "", SUMIFS('Non-State'!BH:BH, 'Non-State'!$C:$C, $G92))</f>
        <v>0</v>
      </c>
      <c r="O92" s="37">
        <f>IF(G92="","",SUMIFS('Non-State'!BO:BO,'Non-State'!$C:$C,$G92)-SUMIFS('Non-State'!BN:BN,'Non-State'!$C:$C,$G92))</f>
        <v>0</v>
      </c>
      <c r="P92" s="37">
        <f>IF(OR(F92="", F92="No Results"),  "", SUMIFS('Non-State'!CF:CF, 'Non-State'!C:C, $G92)+SUMIFS('Non-State'!CG:CG, 'Non-State'!C:C, $G92))</f>
        <v>279306.59999999998</v>
      </c>
      <c r="Q92" s="37">
        <f>IF(OR(G92="", G92="No Results"),  "", SUMIFS('Non-State'!CG:CG, 'Non-State'!C:C, $G92))</f>
        <v>0</v>
      </c>
    </row>
    <row r="93" spans="6:17" x14ac:dyDescent="0.25">
      <c r="F93" s="66">
        <f t="shared" si="4"/>
        <v>56</v>
      </c>
      <c r="G93" s="66" t="str">
        <f>IF(OR(F93="", F93="No Results"),  "", INDEX('Non-State'!C:C, MATCH($F93, 'Non-State'!B:B, 0)))</f>
        <v>127267603</v>
      </c>
      <c r="H93" s="66" t="str">
        <f>IF(OR(F93="", F93="No Results"), "", INDEX('Non-State'!E:E, MATCH($G93, 'Non-State'!$C:$C, 0)))</f>
        <v>1942294939</v>
      </c>
      <c r="I93" s="67" t="str">
        <f>IF(OR(G93="", G93="No Results"), "", INDEX('Non-State'!F:F, MATCH($G93, 'Non-State'!$C:$C, 0)))</f>
        <v>Chi St. Joseph Health Regional Hospital</v>
      </c>
      <c r="J93" s="37">
        <f>IF(G93="", "", SUMIFS('Non-State'!CH:CH, 'Non-State'!C:C, $G93))</f>
        <v>8000000</v>
      </c>
      <c r="K93" s="37">
        <f>IF(G93="", "", SUMIFS('Non-State'!BG:BG, 'Non-State'!$C:$C, $G93))</f>
        <v>0</v>
      </c>
      <c r="L93" s="37">
        <f>IF(G93="", "",  SUMIFS('Non-State'!BL:BL, 'Non-State'!$C:$C, $G93)+SUMIFS('Non-State'!CA:CA, 'Non-State'!$C:$C, $G93))</f>
        <v>8000000</v>
      </c>
      <c r="M93" s="37">
        <f>IF(G93="", "", SUMIFS('Non-State'!BD:BD, 'Non-State'!$C:$C, $G93))</f>
        <v>0</v>
      </c>
      <c r="N93" s="37">
        <f>IF(G93="", "", SUMIFS('Non-State'!BH:BH, 'Non-State'!$C:$C, $G93))</f>
        <v>0</v>
      </c>
      <c r="O93" s="37">
        <f>IF(G93="","",SUMIFS('Non-State'!BO:BO,'Non-State'!$C:$C,$G93)-SUMIFS('Non-State'!BN:BN,'Non-State'!$C:$C,$G93))</f>
        <v>0</v>
      </c>
      <c r="P93" s="37">
        <f>IF(OR(F93="", F93="No Results"),  "", SUMIFS('Non-State'!CF:CF, 'Non-State'!C:C, $G93)+SUMIFS('Non-State'!CG:CG, 'Non-State'!C:C, $G93))</f>
        <v>0</v>
      </c>
      <c r="Q93" s="37">
        <f>IF(OR(G93="", G93="No Results"),  "", SUMIFS('Non-State'!CG:CG, 'Non-State'!C:C, $G93))</f>
        <v>0</v>
      </c>
    </row>
    <row r="94" spans="6:17" x14ac:dyDescent="0.25">
      <c r="F94" s="66">
        <f t="shared" si="4"/>
        <v>57</v>
      </c>
      <c r="G94" s="66" t="str">
        <f>IF(OR(F94="", F94="No Results"),  "", INDEX('Non-State'!C:C, MATCH($F94, 'Non-State'!B:B, 0)))</f>
        <v>127295703</v>
      </c>
      <c r="H94" s="66" t="str">
        <f>IF(OR(F94="", F94="No Results"), "", INDEX('Non-State'!E:E, MATCH($G94, 'Non-State'!$C:$C, 0)))</f>
        <v>1932123247</v>
      </c>
      <c r="I94" s="67" t="str">
        <f>IF(OR(G94="", G94="No Results"), "", INDEX('Non-State'!F:F, MATCH($G94, 'Non-State'!$C:$C, 0)))</f>
        <v>Parkland Health And Hospital System</v>
      </c>
      <c r="J94" s="37">
        <f>IF(G94="", "", SUMIFS('Non-State'!CH:CH, 'Non-State'!C:C, $G94))</f>
        <v>321282940.38793713</v>
      </c>
      <c r="K94" s="37">
        <f>IF(G94="", "", SUMIFS('Non-State'!BG:BG, 'Non-State'!$C:$C, $G94))</f>
        <v>0</v>
      </c>
      <c r="L94" s="37">
        <f>IF(G94="", "",  SUMIFS('Non-State'!BL:BL, 'Non-State'!$C:$C, $G94)+SUMIFS('Non-State'!CA:CA, 'Non-State'!$C:$C, $G94))</f>
        <v>318173934.63</v>
      </c>
      <c r="M94" s="37">
        <f>IF(G94="", "", SUMIFS('Non-State'!BD:BD, 'Non-State'!$C:$C, $G94))</f>
        <v>194713141.66403711</v>
      </c>
      <c r="N94" s="37">
        <f>IF(G94="", "", SUMIFS('Non-State'!BH:BH, 'Non-State'!$C:$C, $G94))</f>
        <v>0</v>
      </c>
      <c r="O94" s="37">
        <f>IF(G94="","",SUMIFS('Non-State'!BO:BO,'Non-State'!$C:$C,$G94)-SUMIFS('Non-State'!BN:BN,'Non-State'!$C:$C,$G94))</f>
        <v>194713141.66</v>
      </c>
      <c r="P94" s="37">
        <f>IF(OR(F94="", F94="No Results"),  "", SUMIFS('Non-State'!CF:CF, 'Non-State'!C:C, $G94)+SUMIFS('Non-State'!CG:CG, 'Non-State'!C:C, $G94))</f>
        <v>3109005.7579371342</v>
      </c>
      <c r="Q94" s="37">
        <f>IF(OR(G94="", G94="No Results"),  "", SUMIFS('Non-State'!CG:CG, 'Non-State'!C:C, $G94))</f>
        <v>3109005.7579371342</v>
      </c>
    </row>
    <row r="95" spans="6:17" x14ac:dyDescent="0.25">
      <c r="F95" s="66">
        <f t="shared" si="4"/>
        <v>58</v>
      </c>
      <c r="G95" s="66" t="str">
        <f>IF(OR(F95="", F95="No Results"),  "", INDEX('Non-State'!C:C, MATCH($F95, 'Non-State'!B:B, 0)))</f>
        <v>127298107</v>
      </c>
      <c r="H95" s="66" t="str">
        <f>IF(OR(F95="", F95="No Results"), "", INDEX('Non-State'!E:E, MATCH($G95, 'Non-State'!$C:$C, 0)))</f>
        <v>1174563779</v>
      </c>
      <c r="I95" s="67" t="str">
        <f>IF(OR(G95="", G95="No Results"), "", INDEX('Non-State'!F:F, MATCH($G95, 'Non-State'!$C:$C, 0)))</f>
        <v>Permian Regional Medical Center</v>
      </c>
      <c r="J95" s="37">
        <f>IF(G95="", "", SUMIFS('Non-State'!CH:CH, 'Non-State'!C:C, $G95))</f>
        <v>4799271.37</v>
      </c>
      <c r="K95" s="37">
        <f>IF(G95="", "", SUMIFS('Non-State'!BG:BG, 'Non-State'!$C:$C, $G95))</f>
        <v>0</v>
      </c>
      <c r="L95" s="37">
        <f>IF(G95="", "",  SUMIFS('Non-State'!BL:BL, 'Non-State'!$C:$C, $G95)+SUMIFS('Non-State'!CA:CA, 'Non-State'!$C:$C, $G95))</f>
        <v>4799271.37</v>
      </c>
      <c r="M95" s="37">
        <f>IF(G95="", "", SUMIFS('Non-State'!BD:BD, 'Non-State'!$C:$C, $G95))</f>
        <v>1685984.0319584364</v>
      </c>
      <c r="N95" s="37">
        <f>IF(G95="", "", SUMIFS('Non-State'!BH:BH, 'Non-State'!$C:$C, $G95))</f>
        <v>0</v>
      </c>
      <c r="O95" s="37">
        <f>IF(G95="","",SUMIFS('Non-State'!BO:BO,'Non-State'!$C:$C,$G95)-SUMIFS('Non-State'!BN:BN,'Non-State'!$C:$C,$G95))</f>
        <v>1685984.03</v>
      </c>
      <c r="P95" s="37">
        <f>IF(OR(F95="", F95="No Results"),  "", SUMIFS('Non-State'!CF:CF, 'Non-State'!C:C, $G95)+SUMIFS('Non-State'!CG:CG, 'Non-State'!C:C, $G95))</f>
        <v>0</v>
      </c>
      <c r="Q95" s="37">
        <f>IF(OR(G95="", G95="No Results"),  "", SUMIFS('Non-State'!CG:CG, 'Non-State'!C:C, $G95))</f>
        <v>0</v>
      </c>
    </row>
    <row r="96" spans="6:17" x14ac:dyDescent="0.25">
      <c r="F96" s="66">
        <f t="shared" si="4"/>
        <v>59</v>
      </c>
      <c r="G96" s="66" t="str">
        <f>IF(OR(F96="", F96="No Results"),  "", INDEX('Non-State'!C:C, MATCH($F96, 'Non-State'!B:B, 0)))</f>
        <v>127303903</v>
      </c>
      <c r="H96" s="66" t="str">
        <f>IF(OR(F96="", F96="No Results"), "", INDEX('Non-State'!E:E, MATCH($G96, 'Non-State'!$C:$C, 0)))</f>
        <v>1700883196</v>
      </c>
      <c r="I96" s="67" t="str">
        <f>IF(OR(G96="", G96="No Results"), "", INDEX('Non-State'!F:F, MATCH($G96, 'Non-State'!$C:$C, 0)))</f>
        <v>Oakbend Medical Center</v>
      </c>
      <c r="J96" s="37">
        <f>IF(G96="", "", SUMIFS('Non-State'!CH:CH, 'Non-State'!C:C, $G96))</f>
        <v>9249267.7699999996</v>
      </c>
      <c r="K96" s="37">
        <f>IF(G96="", "", SUMIFS('Non-State'!BG:BG, 'Non-State'!$C:$C, $G96))</f>
        <v>0</v>
      </c>
      <c r="L96" s="37">
        <f>IF(G96="", "",  SUMIFS('Non-State'!BL:BL, 'Non-State'!$C:$C, $G96)+SUMIFS('Non-State'!CA:CA, 'Non-State'!$C:$C, $G96))</f>
        <v>9249267.7699999996</v>
      </c>
      <c r="M96" s="37">
        <f>IF(G96="", "", SUMIFS('Non-State'!BD:BD, 'Non-State'!$C:$C, $G96))</f>
        <v>3249267.7663018336</v>
      </c>
      <c r="N96" s="37">
        <f>IF(G96="", "", SUMIFS('Non-State'!BH:BH, 'Non-State'!$C:$C, $G96))</f>
        <v>0</v>
      </c>
      <c r="O96" s="37">
        <f>IF(G96="","",SUMIFS('Non-State'!BO:BO,'Non-State'!$C:$C,$G96)-SUMIFS('Non-State'!BN:BN,'Non-State'!$C:$C,$G96))</f>
        <v>3249267.77</v>
      </c>
      <c r="P96" s="37">
        <f>IF(OR(F96="", F96="No Results"),  "", SUMIFS('Non-State'!CF:CF, 'Non-State'!C:C, $G96)+SUMIFS('Non-State'!CG:CG, 'Non-State'!C:C, $G96))</f>
        <v>0</v>
      </c>
      <c r="Q96" s="37">
        <f>IF(OR(G96="", G96="No Results"),  "", SUMIFS('Non-State'!CG:CG, 'Non-State'!C:C, $G96))</f>
        <v>0</v>
      </c>
    </row>
    <row r="97" spans="6:17" x14ac:dyDescent="0.25">
      <c r="F97" s="66">
        <f t="shared" si="4"/>
        <v>60</v>
      </c>
      <c r="G97" s="66" t="str">
        <f>IF(OR(F97="", F97="No Results"),  "", INDEX('Non-State'!C:C, MATCH($F97, 'Non-State'!B:B, 0)))</f>
        <v>127313803</v>
      </c>
      <c r="H97" s="66" t="str">
        <f>IF(OR(F97="", F97="No Results"), "", INDEX('Non-State'!E:E, MATCH($G97, 'Non-State'!$C:$C, 0)))</f>
        <v>1700854288</v>
      </c>
      <c r="I97" s="67" t="str">
        <f>IF(OR(G97="", G97="No Results"), "", INDEX('Non-State'!F:F, MATCH($G97, 'Non-State'!$C:$C, 0)))</f>
        <v>Lamb Healthcare Center</v>
      </c>
      <c r="J97" s="37">
        <f>IF(G97="", "", SUMIFS('Non-State'!CH:CH, 'Non-State'!C:C, $G97))</f>
        <v>1841077.36</v>
      </c>
      <c r="K97" s="37">
        <f>IF(G97="", "", SUMIFS('Non-State'!BG:BG, 'Non-State'!$C:$C, $G97))</f>
        <v>0</v>
      </c>
      <c r="L97" s="37">
        <f>IF(G97="", "",  SUMIFS('Non-State'!BL:BL, 'Non-State'!$C:$C, $G97)+SUMIFS('Non-State'!CA:CA, 'Non-State'!$C:$C, $G97))</f>
        <v>1841077.36</v>
      </c>
      <c r="M97" s="37">
        <f>IF(G97="", "", SUMIFS('Non-State'!BD:BD, 'Non-State'!$C:$C, $G97))</f>
        <v>646770.47727744048</v>
      </c>
      <c r="N97" s="37">
        <f>IF(G97="", "", SUMIFS('Non-State'!BH:BH, 'Non-State'!$C:$C, $G97))</f>
        <v>0</v>
      </c>
      <c r="O97" s="37">
        <f>IF(G97="","",SUMIFS('Non-State'!BO:BO,'Non-State'!$C:$C,$G97)-SUMIFS('Non-State'!BN:BN,'Non-State'!$C:$C,$G97))</f>
        <v>646770.48</v>
      </c>
      <c r="P97" s="37">
        <f>IF(OR(F97="", F97="No Results"),  "", SUMIFS('Non-State'!CF:CF, 'Non-State'!C:C, $G97)+SUMIFS('Non-State'!CG:CG, 'Non-State'!C:C, $G97))</f>
        <v>0</v>
      </c>
      <c r="Q97" s="37">
        <f>IF(OR(G97="", G97="No Results"),  "", SUMIFS('Non-State'!CG:CG, 'Non-State'!C:C, $G97))</f>
        <v>0</v>
      </c>
    </row>
    <row r="98" spans="6:17" x14ac:dyDescent="0.25">
      <c r="F98" s="66">
        <f t="shared" si="4"/>
        <v>61</v>
      </c>
      <c r="G98" s="66" t="str">
        <f>IF(OR(F98="", F98="No Results"),  "", INDEX('Non-State'!C:C, MATCH($F98, 'Non-State'!B:B, 0)))</f>
        <v>127319504</v>
      </c>
      <c r="H98" s="66" t="str">
        <f>IF(OR(F98="", F98="No Results"), "", INDEX('Non-State'!E:E, MATCH($G98, 'Non-State'!$C:$C, 0)))</f>
        <v>1437171568</v>
      </c>
      <c r="I98" s="67" t="str">
        <f>IF(OR(G98="", G98="No Results"), "", INDEX('Non-State'!F:F, MATCH($G98, 'Non-State'!$C:$C, 0)))</f>
        <v>Covenant Children'S Hospital</v>
      </c>
      <c r="J98" s="37">
        <f>IF(G98="", "", SUMIFS('Non-State'!CH:CH, 'Non-State'!C:C, $G98))</f>
        <v>5099876.04</v>
      </c>
      <c r="K98" s="37">
        <f>IF(G98="", "", SUMIFS('Non-State'!BG:BG, 'Non-State'!$C:$C, $G98))</f>
        <v>0</v>
      </c>
      <c r="L98" s="37">
        <f>IF(G98="", "",  SUMIFS('Non-State'!BL:BL, 'Non-State'!$C:$C, $G98)+SUMIFS('Non-State'!CA:CA, 'Non-State'!$C:$C, $G98))</f>
        <v>5099876.04</v>
      </c>
      <c r="M98" s="37">
        <f>IF(G98="", "", SUMIFS('Non-State'!BD:BD, 'Non-State'!$C:$C, $G98))</f>
        <v>0</v>
      </c>
      <c r="N98" s="37">
        <f>IF(G98="", "", SUMIFS('Non-State'!BH:BH, 'Non-State'!$C:$C, $G98))</f>
        <v>0</v>
      </c>
      <c r="O98" s="37">
        <f>IF(G98="","",SUMIFS('Non-State'!BO:BO,'Non-State'!$C:$C,$G98)-SUMIFS('Non-State'!BN:BN,'Non-State'!$C:$C,$G98))</f>
        <v>0</v>
      </c>
      <c r="P98" s="37">
        <f>IF(OR(F98="", F98="No Results"),  "", SUMIFS('Non-State'!CF:CF, 'Non-State'!C:C, $G98)+SUMIFS('Non-State'!CG:CG, 'Non-State'!C:C, $G98))</f>
        <v>0</v>
      </c>
      <c r="Q98" s="37">
        <f>IF(OR(G98="", G98="No Results"),  "", SUMIFS('Non-State'!CG:CG, 'Non-State'!C:C, $G98))</f>
        <v>0</v>
      </c>
    </row>
    <row r="99" spans="6:17" x14ac:dyDescent="0.25">
      <c r="F99" s="66">
        <f t="shared" si="4"/>
        <v>62</v>
      </c>
      <c r="G99" s="66" t="str">
        <f>IF(OR(F99="", F99="No Results"),  "", INDEX('Non-State'!C:C, MATCH($F99, 'Non-State'!B:B, 0)))</f>
        <v>130605205</v>
      </c>
      <c r="H99" s="66" t="str">
        <f>IF(OR(F99="", F99="No Results"), "", INDEX('Non-State'!E:E, MATCH($G99, 'Non-State'!$C:$C, 0)))</f>
        <v>1700885076</v>
      </c>
      <c r="I99" s="67" t="str">
        <f>IF(OR(G99="", G99="No Results"), "", INDEX('Non-State'!F:F, MATCH($G99, 'Non-State'!$C:$C, 0)))</f>
        <v>Nacogdoches Medical Center</v>
      </c>
      <c r="J99" s="37">
        <f>IF(G99="", "", SUMIFS('Non-State'!CH:CH, 'Non-State'!C:C, $G99))</f>
        <v>339670.53</v>
      </c>
      <c r="K99" s="37">
        <f>IF(G99="", "", SUMIFS('Non-State'!BG:BG, 'Non-State'!$C:$C, $G99))</f>
        <v>0</v>
      </c>
      <c r="L99" s="37">
        <f>IF(G99="", "",  SUMIFS('Non-State'!BL:BL, 'Non-State'!$C:$C, $G99)+SUMIFS('Non-State'!CA:CA, 'Non-State'!$C:$C, $G99))</f>
        <v>269363.89</v>
      </c>
      <c r="M99" s="37">
        <f>IF(G99="", "", SUMIFS('Non-State'!BD:BD, 'Non-State'!$C:$C, $G99))</f>
        <v>0</v>
      </c>
      <c r="N99" s="37">
        <f>IF(G99="", "", SUMIFS('Non-State'!BH:BH, 'Non-State'!$C:$C, $G99))</f>
        <v>0</v>
      </c>
      <c r="O99" s="37">
        <f>IF(G99="","",SUMIFS('Non-State'!BO:BO,'Non-State'!$C:$C,$G99)-SUMIFS('Non-State'!BN:BN,'Non-State'!$C:$C,$G99))</f>
        <v>0</v>
      </c>
      <c r="P99" s="37">
        <f>IF(OR(F99="", F99="No Results"),  "", SUMIFS('Non-State'!CF:CF, 'Non-State'!C:C, $G99)+SUMIFS('Non-State'!CG:CG, 'Non-State'!C:C, $G99))</f>
        <v>70306.64</v>
      </c>
      <c r="Q99" s="37">
        <f>IF(OR(G99="", G99="No Results"),  "", SUMIFS('Non-State'!CG:CG, 'Non-State'!C:C, $G99))</f>
        <v>0</v>
      </c>
    </row>
    <row r="100" spans="6:17" x14ac:dyDescent="0.25">
      <c r="F100" s="66">
        <f t="shared" si="4"/>
        <v>63</v>
      </c>
      <c r="G100" s="66" t="str">
        <f>IF(OR(F100="", F100="No Results"),  "", INDEX('Non-State'!C:C, MATCH($F100, 'Non-State'!B:B, 0)))</f>
        <v>130616909</v>
      </c>
      <c r="H100" s="66" t="str">
        <f>IF(OR(F100="", F100="No Results"), "", INDEX('Non-State'!E:E, MATCH($G100, 'Non-State'!$C:$C, 0)))</f>
        <v>1760598692</v>
      </c>
      <c r="I100" s="67" t="str">
        <f>IF(OR(G100="", G100="No Results"), "", INDEX('Non-State'!F:F, MATCH($G100, 'Non-State'!$C:$C, 0)))</f>
        <v>Pecos County Memorial Hospital</v>
      </c>
      <c r="J100" s="37">
        <f>IF(G100="", "", SUMIFS('Non-State'!CH:CH, 'Non-State'!C:C, $G100))</f>
        <v>3193843.13</v>
      </c>
      <c r="K100" s="37">
        <f>IF(G100="", "", SUMIFS('Non-State'!BG:BG, 'Non-State'!$C:$C, $G100))</f>
        <v>0</v>
      </c>
      <c r="L100" s="37">
        <f>IF(G100="", "",  SUMIFS('Non-State'!BL:BL, 'Non-State'!$C:$C, $G100)+SUMIFS('Non-State'!CA:CA, 'Non-State'!$C:$C, $G100))</f>
        <v>3193843.13</v>
      </c>
      <c r="M100" s="37">
        <f>IF(G100="", "", SUMIFS('Non-State'!BD:BD, 'Non-State'!$C:$C, $G100))</f>
        <v>1121997.0927645694</v>
      </c>
      <c r="N100" s="37">
        <f>IF(G100="", "", SUMIFS('Non-State'!BH:BH, 'Non-State'!$C:$C, $G100))</f>
        <v>0</v>
      </c>
      <c r="O100" s="37">
        <f>IF(G100="","",SUMIFS('Non-State'!BO:BO,'Non-State'!$C:$C,$G100)-SUMIFS('Non-State'!BN:BN,'Non-State'!$C:$C,$G100))</f>
        <v>1121997.0900000001</v>
      </c>
      <c r="P100" s="37">
        <f>IF(OR(F100="", F100="No Results"),  "", SUMIFS('Non-State'!CF:CF, 'Non-State'!C:C, $G100)+SUMIFS('Non-State'!CG:CG, 'Non-State'!C:C, $G100))</f>
        <v>0</v>
      </c>
      <c r="Q100" s="37">
        <f>IF(OR(G100="", G100="No Results"),  "", SUMIFS('Non-State'!CG:CG, 'Non-State'!C:C, $G100))</f>
        <v>0</v>
      </c>
    </row>
    <row r="101" spans="6:17" x14ac:dyDescent="0.25">
      <c r="F101" s="66">
        <f t="shared" si="4"/>
        <v>64</v>
      </c>
      <c r="G101" s="66" t="str">
        <f>IF(OR(F101="", F101="No Results"),  "", INDEX('Non-State'!C:C, MATCH($F101, 'Non-State'!B:B, 0)))</f>
        <v>130618504</v>
      </c>
      <c r="H101" s="66" t="str">
        <f>IF(OR(F101="", F101="No Results"), "", INDEX('Non-State'!E:E, MATCH($G101, 'Non-State'!$C:$C, 0)))</f>
        <v>1811916901</v>
      </c>
      <c r="I101" s="67" t="str">
        <f>IF(OR(G101="", G101="No Results"), "", INDEX('Non-State'!F:F, MATCH($G101, 'Non-State'!$C:$C, 0)))</f>
        <v>Terry Memorial Hospital District</v>
      </c>
      <c r="J101" s="37">
        <f>IF(G101="", "", SUMIFS('Non-State'!CH:CH, 'Non-State'!C:C, $G101))</f>
        <v>2319069.63</v>
      </c>
      <c r="K101" s="37">
        <f>IF(G101="", "", SUMIFS('Non-State'!BG:BG, 'Non-State'!$C:$C, $G101))</f>
        <v>0</v>
      </c>
      <c r="L101" s="37">
        <f>IF(G101="", "",  SUMIFS('Non-State'!BL:BL, 'Non-State'!$C:$C, $G101)+SUMIFS('Non-State'!CA:CA, 'Non-State'!$C:$C, $G101))</f>
        <v>2319069.63</v>
      </c>
      <c r="M101" s="37">
        <f>IF(G101="", "", SUMIFS('Non-State'!BD:BD, 'Non-State'!$C:$C, $G101))</f>
        <v>814689.16050525079</v>
      </c>
      <c r="N101" s="37">
        <f>IF(G101="", "", SUMIFS('Non-State'!BH:BH, 'Non-State'!$C:$C, $G101))</f>
        <v>0</v>
      </c>
      <c r="O101" s="37">
        <f>IF(G101="","",SUMIFS('Non-State'!BO:BO,'Non-State'!$C:$C,$G101)-SUMIFS('Non-State'!BN:BN,'Non-State'!$C:$C,$G101))</f>
        <v>814689.16</v>
      </c>
      <c r="P101" s="37">
        <f>IF(OR(F101="", F101="No Results"),  "", SUMIFS('Non-State'!CF:CF, 'Non-State'!C:C, $G101)+SUMIFS('Non-State'!CG:CG, 'Non-State'!C:C, $G101))</f>
        <v>0</v>
      </c>
      <c r="Q101" s="37">
        <f>IF(OR(G101="", G101="No Results"),  "", SUMIFS('Non-State'!CG:CG, 'Non-State'!C:C, $G101))</f>
        <v>0</v>
      </c>
    </row>
    <row r="102" spans="6:17" x14ac:dyDescent="0.25">
      <c r="F102" s="66">
        <f t="shared" si="4"/>
        <v>65</v>
      </c>
      <c r="G102" s="66" t="str">
        <f>IF(OR(F102="", F102="No Results"),  "", INDEX('Non-State'!C:C, MATCH($F102, 'Non-State'!B:B, 0)))</f>
        <v>130826407</v>
      </c>
      <c r="H102" s="66" t="str">
        <f>IF(OR(F102="", F102="No Results"), "", INDEX('Non-State'!E:E, MATCH($G102, 'Non-State'!$C:$C, 0)))</f>
        <v>1639176456</v>
      </c>
      <c r="I102" s="67" t="str">
        <f>IF(OR(G102="", G102="No Results"), "", INDEX('Non-State'!F:F, MATCH($G102, 'Non-State'!$C:$C, 0)))</f>
        <v>Coon Memorial Hospital</v>
      </c>
      <c r="J102" s="37">
        <f>IF(G102="", "", SUMIFS('Non-State'!CH:CH, 'Non-State'!C:C, $G102))</f>
        <v>1687684.34</v>
      </c>
      <c r="K102" s="37">
        <f>IF(G102="", "", SUMIFS('Non-State'!BG:BG, 'Non-State'!$C:$C, $G102))</f>
        <v>0</v>
      </c>
      <c r="L102" s="37">
        <f>IF(G102="", "",  SUMIFS('Non-State'!BL:BL, 'Non-State'!$C:$C, $G102)+SUMIFS('Non-State'!CA:CA, 'Non-State'!$C:$C, $G102))</f>
        <v>1687684.34</v>
      </c>
      <c r="M102" s="37">
        <f>IF(G102="", "", SUMIFS('Non-State'!BD:BD, 'Non-State'!$C:$C, $G102))</f>
        <v>592883.50855449645</v>
      </c>
      <c r="N102" s="37">
        <f>IF(G102="", "", SUMIFS('Non-State'!BH:BH, 'Non-State'!$C:$C, $G102))</f>
        <v>0</v>
      </c>
      <c r="O102" s="37">
        <f>IF(G102="","",SUMIFS('Non-State'!BO:BO,'Non-State'!$C:$C,$G102)-SUMIFS('Non-State'!BN:BN,'Non-State'!$C:$C,$G102))</f>
        <v>592883.51</v>
      </c>
      <c r="P102" s="37">
        <f>IF(OR(F102="", F102="No Results"),  "", SUMIFS('Non-State'!CF:CF, 'Non-State'!C:C, $G102)+SUMIFS('Non-State'!CG:CG, 'Non-State'!C:C, $G102))</f>
        <v>0</v>
      </c>
      <c r="Q102" s="37">
        <f>IF(OR(G102="", G102="No Results"),  "", SUMIFS('Non-State'!CG:CG, 'Non-State'!C:C, $G102))</f>
        <v>0</v>
      </c>
    </row>
    <row r="103" spans="6:17" x14ac:dyDescent="0.25">
      <c r="F103" s="66">
        <f t="shared" ref="F103:F166" si="5">IF(F102&lt;$I$35, F102+1, "")</f>
        <v>66</v>
      </c>
      <c r="G103" s="66" t="str">
        <f>IF(OR(F103="", F103="No Results"),  "", INDEX('Non-State'!C:C, MATCH($F103, 'Non-State'!B:B, 0)))</f>
        <v>130959304</v>
      </c>
      <c r="H103" s="66" t="str">
        <f>IF(OR(F103="", F103="No Results"), "", INDEX('Non-State'!E:E, MATCH($G103, 'Non-State'!$C:$C, 0)))</f>
        <v>1679678767</v>
      </c>
      <c r="I103" s="67" t="str">
        <f>IF(OR(G103="", G103="No Results"), "", INDEX('Non-State'!F:F, MATCH($G103, 'Non-State'!$C:$C, 0)))</f>
        <v>Matagorda Regional Medical Center</v>
      </c>
      <c r="J103" s="37">
        <f>IF(G103="", "", SUMIFS('Non-State'!CH:CH, 'Non-State'!C:C, $G103))</f>
        <v>7116849.4000000004</v>
      </c>
      <c r="K103" s="37">
        <f>IF(G103="", "", SUMIFS('Non-State'!BG:BG, 'Non-State'!$C:$C, $G103))</f>
        <v>0</v>
      </c>
      <c r="L103" s="37">
        <f>IF(G103="", "",  SUMIFS('Non-State'!BL:BL, 'Non-State'!$C:$C, $G103)+SUMIFS('Non-State'!CA:CA, 'Non-State'!$C:$C, $G103))</f>
        <v>7116849.4000000004</v>
      </c>
      <c r="M103" s="37">
        <f>IF(G103="", "", SUMIFS('Non-State'!BD:BD, 'Non-State'!$C:$C, $G103))</f>
        <v>2500149.1956910766</v>
      </c>
      <c r="N103" s="37">
        <f>IF(G103="", "", SUMIFS('Non-State'!BH:BH, 'Non-State'!$C:$C, $G103))</f>
        <v>0</v>
      </c>
      <c r="O103" s="37">
        <f>IF(G103="","",SUMIFS('Non-State'!BO:BO,'Non-State'!$C:$C,$G103)-SUMIFS('Non-State'!BN:BN,'Non-State'!$C:$C,$G103))</f>
        <v>2500149.2000000002</v>
      </c>
      <c r="P103" s="37">
        <f>IF(OR(F103="", F103="No Results"),  "", SUMIFS('Non-State'!CF:CF, 'Non-State'!C:C, $G103)+SUMIFS('Non-State'!CG:CG, 'Non-State'!C:C, $G103))</f>
        <v>0</v>
      </c>
      <c r="Q103" s="37">
        <f>IF(OR(G103="", G103="No Results"),  "", SUMIFS('Non-State'!CG:CG, 'Non-State'!C:C, $G103))</f>
        <v>0</v>
      </c>
    </row>
    <row r="104" spans="6:17" x14ac:dyDescent="0.25">
      <c r="F104" s="66">
        <f t="shared" si="5"/>
        <v>67</v>
      </c>
      <c r="G104" s="66" t="str">
        <f>IF(OR(F104="", F104="No Results"),  "", INDEX('Non-State'!C:C, MATCH($F104, 'Non-State'!B:B, 0)))</f>
        <v>437483702</v>
      </c>
      <c r="H104" s="66" t="str">
        <f>IF(OR(F104="", F104="No Results"), "", INDEX('Non-State'!E:E, MATCH($G104, 'Non-State'!$C:$C, 0)))</f>
        <v/>
      </c>
      <c r="I104" s="67" t="str">
        <f>IF(OR(G104="", G104="No Results"), "", INDEX('Non-State'!F:F, MATCH($G104, 'Non-State'!$C:$C, 0)))</f>
        <v>Nacogdoches Memorial Hospital</v>
      </c>
      <c r="J104" s="37">
        <f>IF(G104="", "", SUMIFS('Non-State'!CH:CH, 'Non-State'!C:C, $G104))</f>
        <v>7061433.5</v>
      </c>
      <c r="K104" s="37">
        <f>IF(G104="", "", SUMIFS('Non-State'!BG:BG, 'Non-State'!$C:$C, $G104))</f>
        <v>0</v>
      </c>
      <c r="L104" s="37">
        <f>IF(G104="", "",  SUMIFS('Non-State'!BL:BL, 'Non-State'!$C:$C, $G104)+SUMIFS('Non-State'!CA:CA, 'Non-State'!$C:$C, $G104))</f>
        <v>5599824.1200000001</v>
      </c>
      <c r="M104" s="37">
        <f>IF(G104="", "", SUMIFS('Non-State'!BD:BD, 'Non-State'!$C:$C, $G104))</f>
        <v>0</v>
      </c>
      <c r="N104" s="37">
        <f>IF(G104="", "", SUMIFS('Non-State'!BH:BH, 'Non-State'!$C:$C, $G104))</f>
        <v>0</v>
      </c>
      <c r="O104" s="37">
        <f>IF(G104="","",SUMIFS('Non-State'!BO:BO,'Non-State'!$C:$C,$G104)-SUMIFS('Non-State'!BN:BN,'Non-State'!$C:$C,$G104))</f>
        <v>0</v>
      </c>
      <c r="P104" s="37">
        <f>IF(OR(F104="", F104="No Results"),  "", SUMIFS('Non-State'!CF:CF, 'Non-State'!C:C, $G104)+SUMIFS('Non-State'!CG:CG, 'Non-State'!C:C, $G104))</f>
        <v>1461609.38</v>
      </c>
      <c r="Q104" s="37">
        <f>IF(OR(G104="", G104="No Results"),  "", SUMIFS('Non-State'!CG:CG, 'Non-State'!C:C, $G104))</f>
        <v>0</v>
      </c>
    </row>
    <row r="105" spans="6:17" x14ac:dyDescent="0.25">
      <c r="F105" s="66">
        <f t="shared" si="5"/>
        <v>68</v>
      </c>
      <c r="G105" s="66" t="str">
        <f>IF(OR(F105="", F105="No Results"),  "", INDEX('Non-State'!C:C, MATCH($F105, 'Non-State'!B:B, 0)))</f>
        <v>131038504</v>
      </c>
      <c r="H105" s="66" t="str">
        <f>IF(OR(F105="", F105="No Results"), "", INDEX('Non-State'!E:E, MATCH($G105, 'Non-State'!$C:$C, 0)))</f>
        <v>1598750721</v>
      </c>
      <c r="I105" s="67" t="str">
        <f>IF(OR(G105="", G105="No Results"), "", INDEX('Non-State'!F:F, MATCH($G105, 'Non-State'!$C:$C, 0)))</f>
        <v>Hunt Memorial Hospital District</v>
      </c>
      <c r="J105" s="37">
        <f>IF(G105="", "", SUMIFS('Non-State'!CH:CH, 'Non-State'!C:C, $G105))</f>
        <v>12332357.02</v>
      </c>
      <c r="K105" s="37">
        <f>IF(G105="", "", SUMIFS('Non-State'!BG:BG, 'Non-State'!$C:$C, $G105))</f>
        <v>0</v>
      </c>
      <c r="L105" s="37">
        <f>IF(G105="", "",  SUMIFS('Non-State'!BL:BL, 'Non-State'!$C:$C, $G105)+SUMIFS('Non-State'!CA:CA, 'Non-State'!$C:$C, $G105))</f>
        <v>12332357.02</v>
      </c>
      <c r="M105" s="37">
        <f>IF(G105="", "", SUMIFS('Non-State'!BD:BD, 'Non-State'!$C:$C, $G105))</f>
        <v>4332357.0217357781</v>
      </c>
      <c r="N105" s="37">
        <f>IF(G105="", "", SUMIFS('Non-State'!BH:BH, 'Non-State'!$C:$C, $G105))</f>
        <v>0</v>
      </c>
      <c r="O105" s="37">
        <f>IF(G105="","",SUMIFS('Non-State'!BO:BO,'Non-State'!$C:$C,$G105)-SUMIFS('Non-State'!BN:BN,'Non-State'!$C:$C,$G105))</f>
        <v>4332357.0199999996</v>
      </c>
      <c r="P105" s="37">
        <f>IF(OR(F105="", F105="No Results"),  "", SUMIFS('Non-State'!CF:CF, 'Non-State'!C:C, $G105)+SUMIFS('Non-State'!CG:CG, 'Non-State'!C:C, $G105))</f>
        <v>0</v>
      </c>
      <c r="Q105" s="37">
        <f>IF(OR(G105="", G105="No Results"),  "", SUMIFS('Non-State'!CG:CG, 'Non-State'!C:C, $G105))</f>
        <v>0</v>
      </c>
    </row>
    <row r="106" spans="6:17" x14ac:dyDescent="0.25">
      <c r="F106" s="66">
        <f t="shared" si="5"/>
        <v>69</v>
      </c>
      <c r="G106" s="66" t="str">
        <f>IF(OR(F106="", F106="No Results"),  "", INDEX('Non-State'!C:C, MATCH($F106, 'Non-State'!B:B, 0)))</f>
        <v>133244705</v>
      </c>
      <c r="H106" s="66" t="str">
        <f>IF(OR(F106="", F106="No Results"), "", INDEX('Non-State'!E:E, MATCH($G106, 'Non-State'!$C:$C, 0)))</f>
        <v>1275581852</v>
      </c>
      <c r="I106" s="67" t="str">
        <f>IF(OR(G106="", G106="No Results"), "", INDEX('Non-State'!F:F, MATCH($G106, 'Non-State'!$C:$C, 0)))</f>
        <v>Rolling Plains Memorial Hospital</v>
      </c>
      <c r="J106" s="37">
        <f>IF(G106="", "", SUMIFS('Non-State'!CH:CH, 'Non-State'!C:C, $G106))</f>
        <v>4661089.63</v>
      </c>
      <c r="K106" s="37">
        <f>IF(G106="", "", SUMIFS('Non-State'!BG:BG, 'Non-State'!$C:$C, $G106))</f>
        <v>0</v>
      </c>
      <c r="L106" s="37">
        <f>IF(G106="", "",  SUMIFS('Non-State'!BL:BL, 'Non-State'!$C:$C, $G106)+SUMIFS('Non-State'!CA:CA, 'Non-State'!$C:$C, $G106))</f>
        <v>4661089.63</v>
      </c>
      <c r="M106" s="37">
        <f>IF(G106="", "", SUMIFS('Non-State'!BD:BD, 'Non-State'!$C:$C, $G106))</f>
        <v>1637440.7880537394</v>
      </c>
      <c r="N106" s="37">
        <f>IF(G106="", "", SUMIFS('Non-State'!BH:BH, 'Non-State'!$C:$C, $G106))</f>
        <v>0</v>
      </c>
      <c r="O106" s="37">
        <f>IF(G106="","",SUMIFS('Non-State'!BO:BO,'Non-State'!$C:$C,$G106)-SUMIFS('Non-State'!BN:BN,'Non-State'!$C:$C,$G106))</f>
        <v>1637440.79</v>
      </c>
      <c r="P106" s="37">
        <f>IF(OR(F106="", F106="No Results"),  "", SUMIFS('Non-State'!CF:CF, 'Non-State'!C:C, $G106)+SUMIFS('Non-State'!CG:CG, 'Non-State'!C:C, $G106))</f>
        <v>0</v>
      </c>
      <c r="Q106" s="37">
        <f>IF(OR(G106="", G106="No Results"),  "", SUMIFS('Non-State'!CG:CG, 'Non-State'!C:C, $G106))</f>
        <v>0</v>
      </c>
    </row>
    <row r="107" spans="6:17" x14ac:dyDescent="0.25">
      <c r="F107" s="66">
        <f t="shared" si="5"/>
        <v>70</v>
      </c>
      <c r="G107" s="66" t="str">
        <f>IF(OR(F107="", F107="No Results"),  "", INDEX('Non-State'!C:C, MATCH($F107, 'Non-State'!B:B, 0)))</f>
        <v>133250406</v>
      </c>
      <c r="H107" s="66" t="str">
        <f>IF(OR(F107="", F107="No Results"), "", INDEX('Non-State'!E:E, MATCH($G107, 'Non-State'!$C:$C, 0)))</f>
        <v>1326079534</v>
      </c>
      <c r="I107" s="67" t="str">
        <f>IF(OR(G107="", G107="No Results"), "", INDEX('Non-State'!F:F, MATCH($G107, 'Non-State'!$C:$C, 0)))</f>
        <v>Childress Regional Medical Center</v>
      </c>
      <c r="J107" s="37">
        <f>IF(G107="", "", SUMIFS('Non-State'!CH:CH, 'Non-State'!C:C, $G107))</f>
        <v>1269896.58</v>
      </c>
      <c r="K107" s="37">
        <f>IF(G107="", "", SUMIFS('Non-State'!BG:BG, 'Non-State'!$C:$C, $G107))</f>
        <v>0</v>
      </c>
      <c r="L107" s="37">
        <f>IF(G107="", "",  SUMIFS('Non-State'!BL:BL, 'Non-State'!$C:$C, $G107)+SUMIFS('Non-State'!CA:CA, 'Non-State'!$C:$C, $G107))</f>
        <v>1269896.58</v>
      </c>
      <c r="M107" s="37">
        <f>IF(G107="", "", SUMIFS('Non-State'!BD:BD, 'Non-State'!$C:$C, $G107))</f>
        <v>446114.66874432715</v>
      </c>
      <c r="N107" s="37">
        <f>IF(G107="", "", SUMIFS('Non-State'!BH:BH, 'Non-State'!$C:$C, $G107))</f>
        <v>0</v>
      </c>
      <c r="O107" s="37">
        <f>IF(G107="","",SUMIFS('Non-State'!BO:BO,'Non-State'!$C:$C,$G107)-SUMIFS('Non-State'!BN:BN,'Non-State'!$C:$C,$G107))</f>
        <v>446114.67</v>
      </c>
      <c r="P107" s="37">
        <f>IF(OR(F107="", F107="No Results"),  "", SUMIFS('Non-State'!CF:CF, 'Non-State'!C:C, $G107)+SUMIFS('Non-State'!CG:CG, 'Non-State'!C:C, $G107))</f>
        <v>0</v>
      </c>
      <c r="Q107" s="37">
        <f>IF(OR(G107="", G107="No Results"),  "", SUMIFS('Non-State'!CG:CG, 'Non-State'!C:C, $G107))</f>
        <v>0</v>
      </c>
    </row>
    <row r="108" spans="6:17" x14ac:dyDescent="0.25">
      <c r="F108" s="66">
        <f t="shared" si="5"/>
        <v>71</v>
      </c>
      <c r="G108" s="66" t="str">
        <f>IF(OR(F108="", F108="No Results"),  "", INDEX('Non-State'!C:C, MATCH($F108, 'Non-State'!B:B, 0)))</f>
        <v>133252009</v>
      </c>
      <c r="H108" s="66" t="str">
        <f>IF(OR(F108="", F108="No Results"), "", INDEX('Non-State'!E:E, MATCH($G108, 'Non-State'!$C:$C, 0)))</f>
        <v>1992285282</v>
      </c>
      <c r="I108" s="67" t="str">
        <f>IF(OR(G108="", G108="No Results"), "", INDEX('Non-State'!F:F, MATCH($G108, 'Non-State'!$C:$C, 0)))</f>
        <v>Hill Regional Hospital</v>
      </c>
      <c r="J108" s="37">
        <f>IF(G108="", "", SUMIFS('Non-State'!CH:CH, 'Non-State'!C:C, $G108))</f>
        <v>3598206.47</v>
      </c>
      <c r="K108" s="37">
        <f>IF(G108="", "", SUMIFS('Non-State'!BG:BG, 'Non-State'!$C:$C, $G108))</f>
        <v>0</v>
      </c>
      <c r="L108" s="37">
        <f>IF(G108="", "",  SUMIFS('Non-State'!BL:BL, 'Non-State'!$C:$C, $G108)+SUMIFS('Non-State'!CA:CA, 'Non-State'!$C:$C, $G108))</f>
        <v>2853432.43</v>
      </c>
      <c r="M108" s="37">
        <f>IF(G108="", "", SUMIFS('Non-State'!BD:BD, 'Non-State'!$C:$C, $G108))</f>
        <v>0</v>
      </c>
      <c r="N108" s="37">
        <f>IF(G108="", "", SUMIFS('Non-State'!BH:BH, 'Non-State'!$C:$C, $G108))</f>
        <v>0</v>
      </c>
      <c r="O108" s="37">
        <f>IF(G108="","",SUMIFS('Non-State'!BO:BO,'Non-State'!$C:$C,$G108)-SUMIFS('Non-State'!BN:BN,'Non-State'!$C:$C,$G108))</f>
        <v>0</v>
      </c>
      <c r="P108" s="37">
        <f>IF(OR(F108="", F108="No Results"),  "", SUMIFS('Non-State'!CF:CF, 'Non-State'!C:C, $G108)+SUMIFS('Non-State'!CG:CG, 'Non-State'!C:C, $G108))</f>
        <v>744774.04</v>
      </c>
      <c r="Q108" s="37">
        <f>IF(OR(G108="", G108="No Results"),  "", SUMIFS('Non-State'!CG:CG, 'Non-State'!C:C, $G108))</f>
        <v>0</v>
      </c>
    </row>
    <row r="109" spans="6:17" x14ac:dyDescent="0.25">
      <c r="F109" s="66">
        <f t="shared" si="5"/>
        <v>72</v>
      </c>
      <c r="G109" s="66" t="str">
        <f>IF(OR(F109="", F109="No Results"),  "", INDEX('Non-State'!C:C, MATCH($F109, 'Non-State'!B:B, 0)))</f>
        <v>133258705</v>
      </c>
      <c r="H109" s="66" t="str">
        <f>IF(OR(F109="", F109="No Results"), "", INDEX('Non-State'!E:E, MATCH($G109, 'Non-State'!$C:$C, 0)))</f>
        <v>1225146400</v>
      </c>
      <c r="I109" s="67" t="str">
        <f>IF(OR(G109="", G109="No Results"), "", INDEX('Non-State'!F:F, MATCH($G109, 'Non-State'!$C:$C, 0)))</f>
        <v>Coventant Hospital Levelland</v>
      </c>
      <c r="J109" s="37">
        <f>IF(G109="", "", SUMIFS('Non-State'!CH:CH, 'Non-State'!C:C, $G109))</f>
        <v>964643.14</v>
      </c>
      <c r="K109" s="37">
        <f>IF(G109="", "", SUMIFS('Non-State'!BG:BG, 'Non-State'!$C:$C, $G109))</f>
        <v>0</v>
      </c>
      <c r="L109" s="37">
        <f>IF(G109="", "",  SUMIFS('Non-State'!BL:BL, 'Non-State'!$C:$C, $G109)+SUMIFS('Non-State'!CA:CA, 'Non-State'!$C:$C, $G109))</f>
        <v>764976.68</v>
      </c>
      <c r="M109" s="37">
        <f>IF(G109="", "", SUMIFS('Non-State'!BD:BD, 'Non-State'!$C:$C, $G109))</f>
        <v>0</v>
      </c>
      <c r="N109" s="37">
        <f>IF(G109="", "", SUMIFS('Non-State'!BH:BH, 'Non-State'!$C:$C, $G109))</f>
        <v>0</v>
      </c>
      <c r="O109" s="37">
        <f>IF(G109="","",SUMIFS('Non-State'!BO:BO,'Non-State'!$C:$C,$G109)-SUMIFS('Non-State'!BN:BN,'Non-State'!$C:$C,$G109))</f>
        <v>0</v>
      </c>
      <c r="P109" s="37">
        <f>IF(OR(F109="", F109="No Results"),  "", SUMIFS('Non-State'!CF:CF, 'Non-State'!C:C, $G109)+SUMIFS('Non-State'!CG:CG, 'Non-State'!C:C, $G109))</f>
        <v>199666.46</v>
      </c>
      <c r="Q109" s="37">
        <f>IF(OR(G109="", G109="No Results"),  "", SUMIFS('Non-State'!CG:CG, 'Non-State'!C:C, $G109))</f>
        <v>0</v>
      </c>
    </row>
    <row r="110" spans="6:17" x14ac:dyDescent="0.25">
      <c r="F110" s="66">
        <f t="shared" si="5"/>
        <v>73</v>
      </c>
      <c r="G110" s="66" t="str">
        <f>IF(OR(F110="", F110="No Results"),  "", INDEX('Non-State'!C:C, MATCH($F110, 'Non-State'!B:B, 0)))</f>
        <v>133355104</v>
      </c>
      <c r="H110" s="66" t="str">
        <f>IF(OR(F110="", F110="No Results"), "", INDEX('Non-State'!E:E, MATCH($G110, 'Non-State'!$C:$C, 0)))</f>
        <v>1205900370</v>
      </c>
      <c r="I110" s="67" t="str">
        <f>IF(OR(G110="", G110="No Results"), "", INDEX('Non-State'!F:F, MATCH($G110, 'Non-State'!$C:$C, 0)))</f>
        <v>Harris Health System</v>
      </c>
      <c r="J110" s="37">
        <f>IF(G110="", "", SUMIFS('Non-State'!CH:CH, 'Non-State'!C:C, $G110))</f>
        <v>77928917.453730926</v>
      </c>
      <c r="K110" s="37">
        <f>IF(G110="", "", SUMIFS('Non-State'!BG:BG, 'Non-State'!$C:$C, $G110))</f>
        <v>0</v>
      </c>
      <c r="L110" s="37">
        <f>IF(G110="", "",  SUMIFS('Non-State'!BL:BL, 'Non-State'!$C:$C, $G110)+SUMIFS('Non-State'!CA:CA, 'Non-State'!$C:$C, $G110))</f>
        <v>76371678.549999997</v>
      </c>
      <c r="M110" s="37">
        <f>IF(G110="", "", SUMIFS('Non-State'!BD:BD, 'Non-State'!$C:$C, $G110))</f>
        <v>68371678.551610976</v>
      </c>
      <c r="N110" s="37">
        <f>IF(G110="", "", SUMIFS('Non-State'!BH:BH, 'Non-State'!$C:$C, $G110))</f>
        <v>0</v>
      </c>
      <c r="O110" s="37">
        <f>IF(G110="","",SUMIFS('Non-State'!BO:BO,'Non-State'!$C:$C,$G110)-SUMIFS('Non-State'!BN:BN,'Non-State'!$C:$C,$G110))</f>
        <v>68371678.549999997</v>
      </c>
      <c r="P110" s="37">
        <f>IF(OR(F110="", F110="No Results"),  "", SUMIFS('Non-State'!CF:CF, 'Non-State'!C:C, $G110)+SUMIFS('Non-State'!CG:CG, 'Non-State'!C:C, $G110))</f>
        <v>1557238.9037309291</v>
      </c>
      <c r="Q110" s="37">
        <f>IF(OR(G110="", G110="No Results"),  "", SUMIFS('Non-State'!CG:CG, 'Non-State'!C:C, $G110))</f>
        <v>1557238.9037309291</v>
      </c>
    </row>
    <row r="111" spans="6:17" x14ac:dyDescent="0.25">
      <c r="F111" s="66">
        <f t="shared" si="5"/>
        <v>74</v>
      </c>
      <c r="G111" s="66" t="str">
        <f>IF(OR(F111="", F111="No Results"),  "", INDEX('Non-State'!C:C, MATCH($F111, 'Non-State'!B:B, 0)))</f>
        <v>133544006</v>
      </c>
      <c r="H111" s="66" t="str">
        <f>IF(OR(F111="", F111="No Results"), "", INDEX('Non-State'!E:E, MATCH($G111, 'Non-State'!$C:$C, 0)))</f>
        <v>1568454403</v>
      </c>
      <c r="I111" s="67" t="str">
        <f>IF(OR(G111="", G111="No Results"), "", INDEX('Non-State'!F:F, MATCH($G111, 'Non-State'!$C:$C, 0)))</f>
        <v>Hereford Regional Medical Center</v>
      </c>
      <c r="J111" s="37">
        <f>IF(G111="", "", SUMIFS('Non-State'!CH:CH, 'Non-State'!C:C, $G111))</f>
        <v>3760250.83</v>
      </c>
      <c r="K111" s="37">
        <f>IF(G111="", "", SUMIFS('Non-State'!BG:BG, 'Non-State'!$C:$C, $G111))</f>
        <v>0</v>
      </c>
      <c r="L111" s="37">
        <f>IF(G111="", "",  SUMIFS('Non-State'!BL:BL, 'Non-State'!$C:$C, $G111)+SUMIFS('Non-State'!CA:CA, 'Non-State'!$C:$C, $G111))</f>
        <v>3760250.83</v>
      </c>
      <c r="M111" s="37">
        <f>IF(G111="", "", SUMIFS('Non-State'!BD:BD, 'Non-State'!$C:$C, $G111))</f>
        <v>1320976.116758842</v>
      </c>
      <c r="N111" s="37">
        <f>IF(G111="", "", SUMIFS('Non-State'!BH:BH, 'Non-State'!$C:$C, $G111))</f>
        <v>0</v>
      </c>
      <c r="O111" s="37">
        <f>IF(G111="","",SUMIFS('Non-State'!BO:BO,'Non-State'!$C:$C,$G111)-SUMIFS('Non-State'!BN:BN,'Non-State'!$C:$C,$G111))</f>
        <v>1320976.1200000001</v>
      </c>
      <c r="P111" s="37">
        <f>IF(OR(F111="", F111="No Results"),  "", SUMIFS('Non-State'!CF:CF, 'Non-State'!C:C, $G111)+SUMIFS('Non-State'!CG:CG, 'Non-State'!C:C, $G111))</f>
        <v>0</v>
      </c>
      <c r="Q111" s="37">
        <f>IF(OR(G111="", G111="No Results"),  "", SUMIFS('Non-State'!CG:CG, 'Non-State'!C:C, $G111))</f>
        <v>0</v>
      </c>
    </row>
    <row r="112" spans="6:17" x14ac:dyDescent="0.25">
      <c r="F112" s="66">
        <f t="shared" si="5"/>
        <v>75</v>
      </c>
      <c r="G112" s="66" t="str">
        <f>IF(OR(F112="", F112="No Results"),  "", INDEX('Non-State'!C:C, MATCH($F112, 'Non-State'!B:B, 0)))</f>
        <v>135032405</v>
      </c>
      <c r="H112" s="66" t="str">
        <f>IF(OR(F112="", F112="No Results"), "", INDEX('Non-State'!E:E, MATCH($G112, 'Non-State'!$C:$C, 0)))</f>
        <v>1528027786</v>
      </c>
      <c r="I112" s="67" t="str">
        <f>IF(OR(G112="", G112="No Results"), "", INDEX('Non-State'!F:F, MATCH($G112, 'Non-State'!$C:$C, 0)))</f>
        <v>Methodist Dallas Medical Center</v>
      </c>
      <c r="J112" s="37">
        <f>IF(G112="", "", SUMIFS('Non-State'!CH:CH, 'Non-State'!C:C, $G112))</f>
        <v>15144630.9</v>
      </c>
      <c r="K112" s="37">
        <f>IF(G112="", "", SUMIFS('Non-State'!BG:BG, 'Non-State'!$C:$C, $G112))</f>
        <v>0</v>
      </c>
      <c r="L112" s="37">
        <f>IF(G112="", "",  SUMIFS('Non-State'!BL:BL, 'Non-State'!$C:$C, $G112)+SUMIFS('Non-State'!CA:CA, 'Non-State'!$C:$C, $G112))</f>
        <v>15144630.9</v>
      </c>
      <c r="M112" s="37">
        <f>IF(G112="", "", SUMIFS('Non-State'!BD:BD, 'Non-State'!$C:$C, $G112))</f>
        <v>0</v>
      </c>
      <c r="N112" s="37">
        <f>IF(G112="", "", SUMIFS('Non-State'!BH:BH, 'Non-State'!$C:$C, $G112))</f>
        <v>0</v>
      </c>
      <c r="O112" s="37">
        <f>IF(G112="","",SUMIFS('Non-State'!BO:BO,'Non-State'!$C:$C,$G112)-SUMIFS('Non-State'!BN:BN,'Non-State'!$C:$C,$G112))</f>
        <v>0</v>
      </c>
      <c r="P112" s="37">
        <f>IF(OR(F112="", F112="No Results"),  "", SUMIFS('Non-State'!CF:CF, 'Non-State'!C:C, $G112)+SUMIFS('Non-State'!CG:CG, 'Non-State'!C:C, $G112))</f>
        <v>0</v>
      </c>
      <c r="Q112" s="37">
        <f>IF(OR(G112="", G112="No Results"),  "", SUMIFS('Non-State'!CG:CG, 'Non-State'!C:C, $G112))</f>
        <v>0</v>
      </c>
    </row>
    <row r="113" spans="6:17" x14ac:dyDescent="0.25">
      <c r="F113" s="66">
        <f t="shared" si="5"/>
        <v>76</v>
      </c>
      <c r="G113" s="66" t="str">
        <f>IF(OR(F113="", F113="No Results"),  "", INDEX('Non-State'!C:C, MATCH($F113, 'Non-State'!B:B, 0)))</f>
        <v>135033210</v>
      </c>
      <c r="H113" s="66" t="str">
        <f>IF(OR(F113="", F113="No Results"), "", INDEX('Non-State'!E:E, MATCH($G113, 'Non-State'!$C:$C, 0)))</f>
        <v>1740238641</v>
      </c>
      <c r="I113" s="67" t="str">
        <f>IF(OR(G113="", G113="No Results"), "", INDEX('Non-State'!F:F, MATCH($G113, 'Non-State'!$C:$C, 0)))</f>
        <v>Columbus Community Hospital</v>
      </c>
      <c r="J113" s="37">
        <f>IF(G113="", "", SUMIFS('Non-State'!CH:CH, 'Non-State'!C:C, $G113))</f>
        <v>1337859.7999999998</v>
      </c>
      <c r="K113" s="37">
        <f>IF(G113="", "", SUMIFS('Non-State'!BG:BG, 'Non-State'!$C:$C, $G113))</f>
        <v>0</v>
      </c>
      <c r="L113" s="37">
        <f>IF(G113="", "",  SUMIFS('Non-State'!BL:BL, 'Non-State'!$C:$C, $G113)+SUMIFS('Non-State'!CA:CA, 'Non-State'!$C:$C, $G113))</f>
        <v>1060943.1599999999</v>
      </c>
      <c r="M113" s="37">
        <f>IF(G113="", "", SUMIFS('Non-State'!BD:BD, 'Non-State'!$C:$C, $G113))</f>
        <v>0</v>
      </c>
      <c r="N113" s="37">
        <f>IF(G113="", "", SUMIFS('Non-State'!BH:BH, 'Non-State'!$C:$C, $G113))</f>
        <v>0</v>
      </c>
      <c r="O113" s="37">
        <f>IF(G113="","",SUMIFS('Non-State'!BO:BO,'Non-State'!$C:$C,$G113)-SUMIFS('Non-State'!BN:BN,'Non-State'!$C:$C,$G113))</f>
        <v>0</v>
      </c>
      <c r="P113" s="37">
        <f>IF(OR(F113="", F113="No Results"),  "", SUMIFS('Non-State'!CF:CF, 'Non-State'!C:C, $G113)+SUMIFS('Non-State'!CG:CG, 'Non-State'!C:C, $G113))</f>
        <v>276916.64</v>
      </c>
      <c r="Q113" s="37">
        <f>IF(OR(G113="", G113="No Results"),  "", SUMIFS('Non-State'!CG:CG, 'Non-State'!C:C, $G113))</f>
        <v>0</v>
      </c>
    </row>
    <row r="114" spans="6:17" x14ac:dyDescent="0.25">
      <c r="F114" s="66">
        <f t="shared" si="5"/>
        <v>77</v>
      </c>
      <c r="G114" s="66" t="str">
        <f>IF(OR(F114="", F114="No Results"),  "", INDEX('Non-State'!C:C, MATCH($F114, 'Non-State'!B:B, 0)))</f>
        <v>135035706</v>
      </c>
      <c r="H114" s="66" t="str">
        <f>IF(OR(F114="", F114="No Results"), "", INDEX('Non-State'!E:E, MATCH($G114, 'Non-State'!$C:$C, 0)))</f>
        <v>1861488579</v>
      </c>
      <c r="I114" s="67" t="str">
        <f>IF(OR(G114="", G114="No Results"), "", INDEX('Non-State'!F:F, MATCH($G114, 'Non-State'!$C:$C, 0)))</f>
        <v>Knapp Medical Center</v>
      </c>
      <c r="J114" s="37">
        <f>IF(G114="", "", SUMIFS('Non-State'!CH:CH, 'Non-State'!C:C, $G114))</f>
        <v>1529502</v>
      </c>
      <c r="K114" s="37">
        <f>IF(G114="", "", SUMIFS('Non-State'!BG:BG, 'Non-State'!$C:$C, $G114))</f>
        <v>0</v>
      </c>
      <c r="L114" s="37">
        <f>IF(G114="", "",  SUMIFS('Non-State'!BL:BL, 'Non-State'!$C:$C, $G114)+SUMIFS('Non-State'!CA:CA, 'Non-State'!$C:$C, $G114))</f>
        <v>1529502</v>
      </c>
      <c r="M114" s="37">
        <f>IF(G114="", "", SUMIFS('Non-State'!BD:BD, 'Non-State'!$C:$C, $G114))</f>
        <v>0</v>
      </c>
      <c r="N114" s="37">
        <f>IF(G114="", "", SUMIFS('Non-State'!BH:BH, 'Non-State'!$C:$C, $G114))</f>
        <v>0</v>
      </c>
      <c r="O114" s="37">
        <f>IF(G114="","",SUMIFS('Non-State'!BO:BO,'Non-State'!$C:$C,$G114)-SUMIFS('Non-State'!BN:BN,'Non-State'!$C:$C,$G114))</f>
        <v>0</v>
      </c>
      <c r="P114" s="37">
        <f>IF(OR(F114="", F114="No Results"),  "", SUMIFS('Non-State'!CF:CF, 'Non-State'!C:C, $G114)+SUMIFS('Non-State'!CG:CG, 'Non-State'!C:C, $G114))</f>
        <v>0</v>
      </c>
      <c r="Q114" s="37">
        <f>IF(OR(G114="", G114="No Results"),  "", SUMIFS('Non-State'!CG:CG, 'Non-State'!C:C, $G114))</f>
        <v>0</v>
      </c>
    </row>
    <row r="115" spans="6:17" x14ac:dyDescent="0.25">
      <c r="F115" s="66">
        <f t="shared" si="5"/>
        <v>78</v>
      </c>
      <c r="G115" s="66" t="str">
        <f>IF(OR(F115="", F115="No Results"),  "", INDEX('Non-State'!C:C, MATCH($F115, 'Non-State'!B:B, 0)))</f>
        <v>135036506</v>
      </c>
      <c r="H115" s="66" t="str">
        <f>IF(OR(F115="", F115="No Results"), "", INDEX('Non-State'!E:E, MATCH($G115, 'Non-State'!$C:$C, 0)))</f>
        <v>1669472387</v>
      </c>
      <c r="I115" s="67" t="str">
        <f>IF(OR(G115="", G115="No Results"), "", INDEX('Non-State'!F:F, MATCH($G115, 'Non-State'!$C:$C, 0)))</f>
        <v>Baylor Scott &amp; White Medical Center - Fort Worth</v>
      </c>
      <c r="J115" s="37">
        <f>IF(G115="", "", SUMIFS('Non-State'!CH:CH, 'Non-State'!C:C, $G115))</f>
        <v>15680973.34</v>
      </c>
      <c r="K115" s="37">
        <f>IF(G115="", "", SUMIFS('Non-State'!BG:BG, 'Non-State'!$C:$C, $G115))</f>
        <v>0</v>
      </c>
      <c r="L115" s="37">
        <f>IF(G115="", "",  SUMIFS('Non-State'!BL:BL, 'Non-State'!$C:$C, $G115)+SUMIFS('Non-State'!CA:CA, 'Non-State'!$C:$C, $G115))</f>
        <v>15680973.34</v>
      </c>
      <c r="M115" s="37">
        <f>IF(G115="", "", SUMIFS('Non-State'!BD:BD, 'Non-State'!$C:$C, $G115))</f>
        <v>0</v>
      </c>
      <c r="N115" s="37">
        <f>IF(G115="", "", SUMIFS('Non-State'!BH:BH, 'Non-State'!$C:$C, $G115))</f>
        <v>0</v>
      </c>
      <c r="O115" s="37">
        <f>IF(G115="","",SUMIFS('Non-State'!BO:BO,'Non-State'!$C:$C,$G115)-SUMIFS('Non-State'!BN:BN,'Non-State'!$C:$C,$G115))</f>
        <v>0</v>
      </c>
      <c r="P115" s="37">
        <f>IF(OR(F115="", F115="No Results"),  "", SUMIFS('Non-State'!CF:CF, 'Non-State'!C:C, $G115)+SUMIFS('Non-State'!CG:CG, 'Non-State'!C:C, $G115))</f>
        <v>0</v>
      </c>
      <c r="Q115" s="37">
        <f>IF(OR(G115="", G115="No Results"),  "", SUMIFS('Non-State'!CG:CG, 'Non-State'!C:C, $G115))</f>
        <v>0</v>
      </c>
    </row>
    <row r="116" spans="6:17" x14ac:dyDescent="0.25">
      <c r="F116" s="66">
        <f t="shared" si="5"/>
        <v>79</v>
      </c>
      <c r="G116" s="66" t="str">
        <f>IF(OR(F116="", F116="No Results"),  "", INDEX('Non-State'!C:C, MATCH($F116, 'Non-State'!B:B, 0)))</f>
        <v>135225404</v>
      </c>
      <c r="H116" s="66" t="str">
        <f>IF(OR(F116="", F116="No Results"), "", INDEX('Non-State'!E:E, MATCH($G116, 'Non-State'!$C:$C, 0)))</f>
        <v>1164526786</v>
      </c>
      <c r="I116" s="67" t="str">
        <f>IF(OR(G116="", G116="No Results"), "", INDEX('Non-State'!F:F, MATCH($G116, 'Non-State'!$C:$C, 0)))</f>
        <v>Ascension Seton Medical Center Austin</v>
      </c>
      <c r="J116" s="37">
        <f>IF(G116="", "", SUMIFS('Non-State'!CH:CH, 'Non-State'!C:C, $G116))</f>
        <v>8000000</v>
      </c>
      <c r="K116" s="37">
        <f>IF(G116="", "", SUMIFS('Non-State'!BG:BG, 'Non-State'!$C:$C, $G116))</f>
        <v>0</v>
      </c>
      <c r="L116" s="37">
        <f>IF(G116="", "",  SUMIFS('Non-State'!BL:BL, 'Non-State'!$C:$C, $G116)+SUMIFS('Non-State'!CA:CA, 'Non-State'!$C:$C, $G116))</f>
        <v>8000000</v>
      </c>
      <c r="M116" s="37">
        <f>IF(G116="", "", SUMIFS('Non-State'!BD:BD, 'Non-State'!$C:$C, $G116))</f>
        <v>0</v>
      </c>
      <c r="N116" s="37">
        <f>IF(G116="", "", SUMIFS('Non-State'!BH:BH, 'Non-State'!$C:$C, $G116))</f>
        <v>0</v>
      </c>
      <c r="O116" s="37">
        <f>IF(G116="","",SUMIFS('Non-State'!BO:BO,'Non-State'!$C:$C,$G116)-SUMIFS('Non-State'!BN:BN,'Non-State'!$C:$C,$G116))</f>
        <v>0</v>
      </c>
      <c r="P116" s="37">
        <f>IF(OR(F116="", F116="No Results"),  "", SUMIFS('Non-State'!CF:CF, 'Non-State'!C:C, $G116)+SUMIFS('Non-State'!CG:CG, 'Non-State'!C:C, $G116))</f>
        <v>0</v>
      </c>
      <c r="Q116" s="37">
        <f>IF(OR(G116="", G116="No Results"),  "", SUMIFS('Non-State'!CG:CG, 'Non-State'!C:C, $G116))</f>
        <v>0</v>
      </c>
    </row>
    <row r="117" spans="6:17" x14ac:dyDescent="0.25">
      <c r="F117" s="66">
        <f t="shared" si="5"/>
        <v>80</v>
      </c>
      <c r="G117" s="66" t="str">
        <f>IF(OR(F117="", F117="No Results"),  "", INDEX('Non-State'!C:C, MATCH($F117, 'Non-State'!B:B, 0)))</f>
        <v>135226205</v>
      </c>
      <c r="H117" s="66" t="str">
        <f>IF(OR(F117="", F117="No Results"), "", INDEX('Non-State'!E:E, MATCH($G117, 'Non-State'!$C:$C, 0)))</f>
        <v>1154315307</v>
      </c>
      <c r="I117" s="67" t="str">
        <f>IF(OR(G117="", G117="No Results"), "", INDEX('Non-State'!F:F, MATCH($G117, 'Non-State'!$C:$C, 0)))</f>
        <v>Baylor Scott &amp; White Medical Center - Brenham</v>
      </c>
      <c r="J117" s="37">
        <f>IF(G117="", "", SUMIFS('Non-State'!CH:CH, 'Non-State'!C:C, $G117))</f>
        <v>683361.87</v>
      </c>
      <c r="K117" s="37">
        <f>IF(G117="", "", SUMIFS('Non-State'!BG:BG, 'Non-State'!$C:$C, $G117))</f>
        <v>0</v>
      </c>
      <c r="L117" s="37">
        <f>IF(G117="", "",  SUMIFS('Non-State'!BL:BL, 'Non-State'!$C:$C, $G117)+SUMIFS('Non-State'!CA:CA, 'Non-State'!$C:$C, $G117))</f>
        <v>683361.87</v>
      </c>
      <c r="M117" s="37">
        <f>IF(G117="", "", SUMIFS('Non-State'!BD:BD, 'Non-State'!$C:$C, $G117))</f>
        <v>0</v>
      </c>
      <c r="N117" s="37">
        <f>IF(G117="", "", SUMIFS('Non-State'!BH:BH, 'Non-State'!$C:$C, $G117))</f>
        <v>0</v>
      </c>
      <c r="O117" s="37">
        <f>IF(G117="","",SUMIFS('Non-State'!BO:BO,'Non-State'!$C:$C,$G117)-SUMIFS('Non-State'!BN:BN,'Non-State'!$C:$C,$G117))</f>
        <v>0</v>
      </c>
      <c r="P117" s="37">
        <f>IF(OR(F117="", F117="No Results"),  "", SUMIFS('Non-State'!CF:CF, 'Non-State'!C:C, $G117)+SUMIFS('Non-State'!CG:CG, 'Non-State'!C:C, $G117))</f>
        <v>0</v>
      </c>
      <c r="Q117" s="37">
        <f>IF(OR(G117="", G117="No Results"),  "", SUMIFS('Non-State'!CG:CG, 'Non-State'!C:C, $G117))</f>
        <v>0</v>
      </c>
    </row>
    <row r="118" spans="6:17" x14ac:dyDescent="0.25">
      <c r="F118" s="66">
        <f t="shared" si="5"/>
        <v>81</v>
      </c>
      <c r="G118" s="66" t="str">
        <f>IF(OR(F118="", F118="No Results"),  "", INDEX('Non-State'!C:C, MATCH($F118, 'Non-State'!B:B, 0)))</f>
        <v>135235306</v>
      </c>
      <c r="H118" s="66" t="str">
        <f>IF(OR(F118="", F118="No Results"), "", INDEX('Non-State'!E:E, MATCH($G118, 'Non-State'!$C:$C, 0)))</f>
        <v>1740273994</v>
      </c>
      <c r="I118" s="67" t="str">
        <f>IF(OR(G118="", G118="No Results"), "", INDEX('Non-State'!F:F, MATCH($G118, 'Non-State'!$C:$C, 0)))</f>
        <v>Medical Center Health System</v>
      </c>
      <c r="J118" s="37">
        <f>IF(G118="", "", SUMIFS('Non-State'!CH:CH, 'Non-State'!C:C, $G118))</f>
        <v>13106257.18</v>
      </c>
      <c r="K118" s="37">
        <f>IF(G118="", "", SUMIFS('Non-State'!BG:BG, 'Non-State'!$C:$C, $G118))</f>
        <v>0</v>
      </c>
      <c r="L118" s="37">
        <f>IF(G118="", "",  SUMIFS('Non-State'!BL:BL, 'Non-State'!$C:$C, $G118)+SUMIFS('Non-State'!CA:CA, 'Non-State'!$C:$C, $G118))</f>
        <v>13106257.18</v>
      </c>
      <c r="M118" s="37">
        <f>IF(G118="", "", SUMIFS('Non-State'!BD:BD, 'Non-State'!$C:$C, $G118))</f>
        <v>4604228.1486435719</v>
      </c>
      <c r="N118" s="37">
        <f>IF(G118="", "", SUMIFS('Non-State'!BH:BH, 'Non-State'!$C:$C, $G118))</f>
        <v>0</v>
      </c>
      <c r="O118" s="37">
        <f>IF(G118="","",SUMIFS('Non-State'!BO:BO,'Non-State'!$C:$C,$G118)-SUMIFS('Non-State'!BN:BN,'Non-State'!$C:$C,$G118))</f>
        <v>4604228.1500000004</v>
      </c>
      <c r="P118" s="37">
        <f>IF(OR(F118="", F118="No Results"),  "", SUMIFS('Non-State'!CF:CF, 'Non-State'!C:C, $G118)+SUMIFS('Non-State'!CG:CG, 'Non-State'!C:C, $G118))</f>
        <v>0</v>
      </c>
      <c r="Q118" s="37">
        <f>IF(OR(G118="", G118="No Results"),  "", SUMIFS('Non-State'!CG:CG, 'Non-State'!C:C, $G118))</f>
        <v>0</v>
      </c>
    </row>
    <row r="119" spans="6:17" x14ac:dyDescent="0.25">
      <c r="F119" s="66">
        <f t="shared" si="5"/>
        <v>82</v>
      </c>
      <c r="G119" s="66" t="str">
        <f>IF(OR(F119="", F119="No Results"),  "", INDEX('Non-State'!C:C, MATCH($F119, 'Non-State'!B:B, 0)))</f>
        <v>135237906</v>
      </c>
      <c r="H119" s="66" t="str">
        <f>IF(OR(F119="", F119="No Results"), "", INDEX('Non-State'!E:E, MATCH($G119, 'Non-State'!$C:$C, 0)))</f>
        <v>1023013448</v>
      </c>
      <c r="I119" s="67" t="str">
        <f>IF(OR(G119="", G119="No Results"), "", INDEX('Non-State'!F:F, MATCH($G119, 'Non-State'!$C:$C, 0)))</f>
        <v>United Regional Health Care System</v>
      </c>
      <c r="J119" s="37">
        <f>IF(G119="", "", SUMIFS('Non-State'!CH:CH, 'Non-State'!C:C, $G119))</f>
        <v>6000000</v>
      </c>
      <c r="K119" s="37">
        <f>IF(G119="", "", SUMIFS('Non-State'!BG:BG, 'Non-State'!$C:$C, $G119))</f>
        <v>0</v>
      </c>
      <c r="L119" s="37">
        <f>IF(G119="", "",  SUMIFS('Non-State'!BL:BL, 'Non-State'!$C:$C, $G119)+SUMIFS('Non-State'!CA:CA, 'Non-State'!$C:$C, $G119))</f>
        <v>6000000</v>
      </c>
      <c r="M119" s="37">
        <f>IF(G119="", "", SUMIFS('Non-State'!BD:BD, 'Non-State'!$C:$C, $G119))</f>
        <v>0</v>
      </c>
      <c r="N119" s="37">
        <f>IF(G119="", "", SUMIFS('Non-State'!BH:BH, 'Non-State'!$C:$C, $G119))</f>
        <v>0</v>
      </c>
      <c r="O119" s="37">
        <f>IF(G119="","",SUMIFS('Non-State'!BO:BO,'Non-State'!$C:$C,$G119)-SUMIFS('Non-State'!BN:BN,'Non-State'!$C:$C,$G119))</f>
        <v>0</v>
      </c>
      <c r="P119" s="37">
        <f>IF(OR(F119="", F119="No Results"),  "", SUMIFS('Non-State'!CF:CF, 'Non-State'!C:C, $G119)+SUMIFS('Non-State'!CG:CG, 'Non-State'!C:C, $G119))</f>
        <v>0</v>
      </c>
      <c r="Q119" s="37">
        <f>IF(OR(G119="", G119="No Results"),  "", SUMIFS('Non-State'!CG:CG, 'Non-State'!C:C, $G119))</f>
        <v>0</v>
      </c>
    </row>
    <row r="120" spans="6:17" x14ac:dyDescent="0.25">
      <c r="F120" s="66">
        <f t="shared" si="5"/>
        <v>83</v>
      </c>
      <c r="G120" s="66" t="str">
        <f>IF(OR(F120="", F120="No Results"),  "", INDEX('Non-State'!C:C, MATCH($F120, 'Non-State'!B:B, 0)))</f>
        <v>136141205</v>
      </c>
      <c r="H120" s="66" t="str">
        <f>IF(OR(F120="", F120="No Results"), "", INDEX('Non-State'!E:E, MATCH($G120, 'Non-State'!$C:$C, 0)))</f>
        <v>1821011248</v>
      </c>
      <c r="I120" s="67" t="str">
        <f>IF(OR(G120="", G120="No Results"), "", INDEX('Non-State'!F:F, MATCH($G120, 'Non-State'!$C:$C, 0)))</f>
        <v>University Health</v>
      </c>
      <c r="J120" s="37">
        <f>IF(G120="", "", SUMIFS('Non-State'!CH:CH, 'Non-State'!C:C, $G120))</f>
        <v>166889074.45752212</v>
      </c>
      <c r="K120" s="37">
        <f>IF(G120="", "", SUMIFS('Non-State'!BG:BG, 'Non-State'!$C:$C, $G120))</f>
        <v>0</v>
      </c>
      <c r="L120" s="37">
        <f>IF(G120="", "",  SUMIFS('Non-State'!BL:BL, 'Non-State'!$C:$C, $G120)+SUMIFS('Non-State'!CA:CA, 'Non-State'!$C:$C, $G120))</f>
        <v>165292634.81999999</v>
      </c>
      <c r="M120" s="37">
        <f>IF(G120="", "", SUMIFS('Non-State'!BD:BD, 'Non-State'!$C:$C, $G120))</f>
        <v>100655364.57867834</v>
      </c>
      <c r="N120" s="37">
        <f>IF(G120="", "", SUMIFS('Non-State'!BH:BH, 'Non-State'!$C:$C, $G120))</f>
        <v>0</v>
      </c>
      <c r="O120" s="37">
        <f>IF(G120="","",SUMIFS('Non-State'!BO:BO,'Non-State'!$C:$C,$G120)-SUMIFS('Non-State'!BN:BN,'Non-State'!$C:$C,$G120))</f>
        <v>100655364.58</v>
      </c>
      <c r="P120" s="37">
        <f>IF(OR(F120="", F120="No Results"),  "", SUMIFS('Non-State'!CF:CF, 'Non-State'!C:C, $G120)+SUMIFS('Non-State'!CG:CG, 'Non-State'!C:C, $G120))</f>
        <v>1596439.6375221256</v>
      </c>
      <c r="Q120" s="37">
        <f>IF(OR(G120="", G120="No Results"),  "", SUMIFS('Non-State'!CG:CG, 'Non-State'!C:C, $G120))</f>
        <v>1596439.6375221256</v>
      </c>
    </row>
    <row r="121" spans="6:17" x14ac:dyDescent="0.25">
      <c r="F121" s="66">
        <f t="shared" si="5"/>
        <v>84</v>
      </c>
      <c r="G121" s="66" t="str">
        <f>IF(OR(F121="", F121="No Results"),  "", INDEX('Non-State'!C:C, MATCH($F121, 'Non-State'!B:B, 0)))</f>
        <v>136143806</v>
      </c>
      <c r="H121" s="66" t="str">
        <f>IF(OR(F121="", F121="No Results"), "", INDEX('Non-State'!E:E, MATCH($G121, 'Non-State'!$C:$C, 0)))</f>
        <v>1255325817</v>
      </c>
      <c r="I121" s="67" t="str">
        <f>IF(OR(G121="", G121="No Results"), "", INDEX('Non-State'!F:F, MATCH($G121, 'Non-State'!$C:$C, 0)))</f>
        <v>Midland Memorial Hospital</v>
      </c>
      <c r="J121" s="37">
        <f>IF(G121="", "", SUMIFS('Non-State'!CH:CH, 'Non-State'!C:C, $G121))</f>
        <v>18427758.390000001</v>
      </c>
      <c r="K121" s="37">
        <f>IF(G121="", "", SUMIFS('Non-State'!BG:BG, 'Non-State'!$C:$C, $G121))</f>
        <v>0</v>
      </c>
      <c r="L121" s="37">
        <f>IF(G121="", "",  SUMIFS('Non-State'!BL:BL, 'Non-State'!$C:$C, $G121)+SUMIFS('Non-State'!CA:CA, 'Non-State'!$C:$C, $G121))</f>
        <v>18427758.390000001</v>
      </c>
      <c r="M121" s="37">
        <f>IF(G121="", "", SUMIFS('Non-State'!BD:BD, 'Non-State'!$C:$C, $G121))</f>
        <v>6473671.5225918368</v>
      </c>
      <c r="N121" s="37">
        <f>IF(G121="", "", SUMIFS('Non-State'!BH:BH, 'Non-State'!$C:$C, $G121))</f>
        <v>0</v>
      </c>
      <c r="O121" s="37">
        <f>IF(G121="","",SUMIFS('Non-State'!BO:BO,'Non-State'!$C:$C,$G121)-SUMIFS('Non-State'!BN:BN,'Non-State'!$C:$C,$G121))</f>
        <v>6473671.5199999996</v>
      </c>
      <c r="P121" s="37">
        <f>IF(OR(F121="", F121="No Results"),  "", SUMIFS('Non-State'!CF:CF, 'Non-State'!C:C, $G121)+SUMIFS('Non-State'!CG:CG, 'Non-State'!C:C, $G121))</f>
        <v>0</v>
      </c>
      <c r="Q121" s="37">
        <f>IF(OR(G121="", G121="No Results"),  "", SUMIFS('Non-State'!CG:CG, 'Non-State'!C:C, $G121))</f>
        <v>0</v>
      </c>
    </row>
    <row r="122" spans="6:17" x14ac:dyDescent="0.25">
      <c r="F122" s="66">
        <f t="shared" si="5"/>
        <v>85</v>
      </c>
      <c r="G122" s="66" t="str">
        <f>IF(OR(F122="", F122="No Results"),  "", INDEX('Non-State'!C:C, MATCH($F122, 'Non-State'!B:B, 0)))</f>
        <v>136330112</v>
      </c>
      <c r="H122" s="66" t="str">
        <f>IF(OR(F122="", F122="No Results"), "", INDEX('Non-State'!E:E, MATCH($G122, 'Non-State'!$C:$C, 0)))</f>
        <v>1578588463</v>
      </c>
      <c r="I122" s="67" t="str">
        <f>IF(OR(G122="", G122="No Results"), "", INDEX('Non-State'!F:F, MATCH($G122, 'Non-State'!$C:$C, 0)))</f>
        <v>Cogdell Memorial Hospital</v>
      </c>
      <c r="J122" s="37">
        <f>IF(G122="", "", SUMIFS('Non-State'!CH:CH, 'Non-State'!C:C, $G122))</f>
        <v>3680507.98</v>
      </c>
      <c r="K122" s="37">
        <f>IF(G122="", "", SUMIFS('Non-State'!BG:BG, 'Non-State'!$C:$C, $G122))</f>
        <v>0</v>
      </c>
      <c r="L122" s="37">
        <f>IF(G122="", "",  SUMIFS('Non-State'!BL:BL, 'Non-State'!$C:$C, $G122)+SUMIFS('Non-State'!CA:CA, 'Non-State'!$C:$C, $G122))</f>
        <v>3680507.98</v>
      </c>
      <c r="M122" s="37">
        <f>IF(G122="", "", SUMIFS('Non-State'!BD:BD, 'Non-State'!$C:$C, $G122))</f>
        <v>1292962.4524029705</v>
      </c>
      <c r="N122" s="37">
        <f>IF(G122="", "", SUMIFS('Non-State'!BH:BH, 'Non-State'!$C:$C, $G122))</f>
        <v>0</v>
      </c>
      <c r="O122" s="37">
        <f>IF(G122="","",SUMIFS('Non-State'!BO:BO,'Non-State'!$C:$C,$G122)-SUMIFS('Non-State'!BN:BN,'Non-State'!$C:$C,$G122))</f>
        <v>1292962.45</v>
      </c>
      <c r="P122" s="37">
        <f>IF(OR(F122="", F122="No Results"),  "", SUMIFS('Non-State'!CF:CF, 'Non-State'!C:C, $G122)+SUMIFS('Non-State'!CG:CG, 'Non-State'!C:C, $G122))</f>
        <v>0</v>
      </c>
      <c r="Q122" s="37">
        <f>IF(OR(G122="", G122="No Results"),  "", SUMIFS('Non-State'!CG:CG, 'Non-State'!C:C, $G122))</f>
        <v>0</v>
      </c>
    </row>
    <row r="123" spans="6:17" x14ac:dyDescent="0.25">
      <c r="F123" s="66">
        <f t="shared" si="5"/>
        <v>86</v>
      </c>
      <c r="G123" s="66" t="str">
        <f>IF(OR(F123="", F123="No Results"),  "", INDEX('Non-State'!C:C, MATCH($F123, 'Non-State'!B:B, 0)))</f>
        <v>136332705</v>
      </c>
      <c r="H123" s="66" t="str">
        <f>IF(OR(F123="", F123="No Results"), "", INDEX('Non-State'!E:E, MATCH($G123, 'Non-State'!$C:$C, 0)))</f>
        <v>1760567085</v>
      </c>
      <c r="I123" s="67" t="str">
        <f>IF(OR(G123="", G123="No Results"), "", INDEX('Non-State'!F:F, MATCH($G123, 'Non-State'!$C:$C, 0)))</f>
        <v>Starr County Memorial Hospital</v>
      </c>
      <c r="J123" s="37">
        <f>IF(G123="", "", SUMIFS('Non-State'!CH:CH, 'Non-State'!C:C, $G123))</f>
        <v>4077373</v>
      </c>
      <c r="K123" s="37">
        <f>IF(G123="", "", SUMIFS('Non-State'!BG:BG, 'Non-State'!$C:$C, $G123))</f>
        <v>0</v>
      </c>
      <c r="L123" s="37">
        <f>IF(G123="", "",  SUMIFS('Non-State'!BL:BL, 'Non-State'!$C:$C, $G123)+SUMIFS('Non-State'!CA:CA, 'Non-State'!$C:$C, $G123))</f>
        <v>4077373</v>
      </c>
      <c r="M123" s="37">
        <f>IF(G123="", "", SUMIFS('Non-State'!BD:BD, 'Non-State'!$C:$C, $G123))</f>
        <v>1432381.1338278123</v>
      </c>
      <c r="N123" s="37">
        <f>IF(G123="", "", SUMIFS('Non-State'!BH:BH, 'Non-State'!$C:$C, $G123))</f>
        <v>0</v>
      </c>
      <c r="O123" s="37">
        <f>IF(G123="","",SUMIFS('Non-State'!BO:BO,'Non-State'!$C:$C,$G123)-SUMIFS('Non-State'!BN:BN,'Non-State'!$C:$C,$G123))</f>
        <v>1432381.13</v>
      </c>
      <c r="P123" s="37">
        <f>IF(OR(F123="", F123="No Results"),  "", SUMIFS('Non-State'!CF:CF, 'Non-State'!C:C, $G123)+SUMIFS('Non-State'!CG:CG, 'Non-State'!C:C, $G123))</f>
        <v>0</v>
      </c>
      <c r="Q123" s="37">
        <f>IF(OR(G123="", G123="No Results"),  "", SUMIFS('Non-State'!CG:CG, 'Non-State'!C:C, $G123))</f>
        <v>0</v>
      </c>
    </row>
    <row r="124" spans="6:17" x14ac:dyDescent="0.25">
      <c r="F124" s="66">
        <f t="shared" si="5"/>
        <v>87</v>
      </c>
      <c r="G124" s="66" t="str">
        <f>IF(OR(F124="", F124="No Results"),  "", INDEX('Non-State'!C:C, MATCH($F124, 'Non-State'!B:B, 0)))</f>
        <v>136436606</v>
      </c>
      <c r="H124" s="66" t="str">
        <f>IF(OR(F124="", F124="No Results"), "", INDEX('Non-State'!E:E, MATCH($G124, 'Non-State'!$C:$C, 0)))</f>
        <v>1093783391</v>
      </c>
      <c r="I124" s="67" t="str">
        <f>IF(OR(G124="", G124="No Results"), "", INDEX('Non-State'!F:F, MATCH($G124, 'Non-State'!$C:$C, 0)))</f>
        <v>CHRISTUS Spohn Hospital Kleberg</v>
      </c>
      <c r="J124" s="37">
        <f>IF(G124="", "", SUMIFS('Non-State'!CH:CH, 'Non-State'!C:C, $G124))</f>
        <v>4908065.6500000004</v>
      </c>
      <c r="K124" s="37">
        <f>IF(G124="", "", SUMIFS('Non-State'!BG:BG, 'Non-State'!$C:$C, $G124))</f>
        <v>0</v>
      </c>
      <c r="L124" s="37">
        <f>IF(G124="", "",  SUMIFS('Non-State'!BL:BL, 'Non-State'!$C:$C, $G124)+SUMIFS('Non-State'!CA:CA, 'Non-State'!$C:$C, $G124))</f>
        <v>3892170.68</v>
      </c>
      <c r="M124" s="37">
        <f>IF(G124="", "", SUMIFS('Non-State'!BD:BD, 'Non-State'!$C:$C, $G124))</f>
        <v>0</v>
      </c>
      <c r="N124" s="37">
        <f>IF(G124="", "", SUMIFS('Non-State'!BH:BH, 'Non-State'!$C:$C, $G124))</f>
        <v>0</v>
      </c>
      <c r="O124" s="37">
        <f>IF(G124="","",SUMIFS('Non-State'!BO:BO,'Non-State'!$C:$C,$G124)-SUMIFS('Non-State'!BN:BN,'Non-State'!$C:$C,$G124))</f>
        <v>0</v>
      </c>
      <c r="P124" s="37">
        <f>IF(OR(F124="", F124="No Results"),  "", SUMIFS('Non-State'!CF:CF, 'Non-State'!C:C, $G124)+SUMIFS('Non-State'!CG:CG, 'Non-State'!C:C, $G124))</f>
        <v>1015894.97</v>
      </c>
      <c r="Q124" s="37">
        <f>IF(OR(G124="", G124="No Results"),  "", SUMIFS('Non-State'!CG:CG, 'Non-State'!C:C, $G124))</f>
        <v>0</v>
      </c>
    </row>
    <row r="125" spans="6:17" x14ac:dyDescent="0.25">
      <c r="F125" s="66">
        <f t="shared" si="5"/>
        <v>88</v>
      </c>
      <c r="G125" s="66" t="str">
        <f>IF(OR(F125="", F125="No Results"),  "", INDEX('Non-State'!C:C, MATCH($F125, 'Non-State'!B:B, 0)))</f>
        <v>137226005</v>
      </c>
      <c r="H125" s="66" t="str">
        <f>IF(OR(F125="", F125="No Results"), "", INDEX('Non-State'!E:E, MATCH($G125, 'Non-State'!$C:$C, 0)))</f>
        <v>1992707228</v>
      </c>
      <c r="I125" s="67" t="str">
        <f>IF(OR(G125="", G125="No Results"), "", INDEX('Non-State'!F:F, MATCH($G125, 'Non-State'!$C:$C, 0)))</f>
        <v>Shannon Medical Center</v>
      </c>
      <c r="J125" s="37">
        <f>IF(G125="", "", SUMIFS('Non-State'!CH:CH, 'Non-State'!C:C, $G125))</f>
        <v>6911706.0899999999</v>
      </c>
      <c r="K125" s="37">
        <f>IF(G125="", "", SUMIFS('Non-State'!BG:BG, 'Non-State'!$C:$C, $G125))</f>
        <v>0</v>
      </c>
      <c r="L125" s="37">
        <f>IF(G125="", "",  SUMIFS('Non-State'!BL:BL, 'Non-State'!$C:$C, $G125)+SUMIFS('Non-State'!CA:CA, 'Non-State'!$C:$C, $G125))</f>
        <v>6911706.0899999999</v>
      </c>
      <c r="M125" s="37">
        <f>IF(G125="", "", SUMIFS('Non-State'!BD:BD, 'Non-State'!$C:$C, $G125))</f>
        <v>0</v>
      </c>
      <c r="N125" s="37">
        <f>IF(G125="", "", SUMIFS('Non-State'!BH:BH, 'Non-State'!$C:$C, $G125))</f>
        <v>0</v>
      </c>
      <c r="O125" s="37">
        <f>IF(G125="","",SUMIFS('Non-State'!BO:BO,'Non-State'!$C:$C,$G125)-SUMIFS('Non-State'!BN:BN,'Non-State'!$C:$C,$G125))</f>
        <v>0</v>
      </c>
      <c r="P125" s="37">
        <f>IF(OR(F125="", F125="No Results"),  "", SUMIFS('Non-State'!CF:CF, 'Non-State'!C:C, $G125)+SUMIFS('Non-State'!CG:CG, 'Non-State'!C:C, $G125))</f>
        <v>0</v>
      </c>
      <c r="Q125" s="37">
        <f>IF(OR(G125="", G125="No Results"),  "", SUMIFS('Non-State'!CG:CG, 'Non-State'!C:C, $G125))</f>
        <v>0</v>
      </c>
    </row>
    <row r="126" spans="6:17" x14ac:dyDescent="0.25">
      <c r="F126" s="66">
        <f t="shared" si="5"/>
        <v>89</v>
      </c>
      <c r="G126" s="66" t="str">
        <f>IF(OR(F126="", F126="No Results"),  "", INDEX('Non-State'!C:C, MATCH($F126, 'Non-State'!B:B, 0)))</f>
        <v>137227806</v>
      </c>
      <c r="H126" s="66" t="str">
        <f>IF(OR(F126="", F126="No Results"), "", INDEX('Non-State'!E:E, MATCH($G126, 'Non-State'!$C:$C, 0)))</f>
        <v>1790702371</v>
      </c>
      <c r="I126" s="67" t="str">
        <f>IF(OR(G126="", G126="No Results"), "", INDEX('Non-State'!F:F, MATCH($G126, 'Non-State'!$C:$C, 0)))</f>
        <v>Yoakum County Hospital</v>
      </c>
      <c r="J126" s="37">
        <f>IF(G126="", "", SUMIFS('Non-State'!CH:CH, 'Non-State'!C:C, $G126))</f>
        <v>5396420.5999999996</v>
      </c>
      <c r="K126" s="37">
        <f>IF(G126="", "", SUMIFS('Non-State'!BG:BG, 'Non-State'!$C:$C, $G126))</f>
        <v>0</v>
      </c>
      <c r="L126" s="37">
        <f>IF(G126="", "",  SUMIFS('Non-State'!BL:BL, 'Non-State'!$C:$C, $G126)+SUMIFS('Non-State'!CA:CA, 'Non-State'!$C:$C, $G126))</f>
        <v>5396420.5999999996</v>
      </c>
      <c r="M126" s="37">
        <f>IF(G126="", "", SUMIFS('Non-State'!BD:BD, 'Non-State'!$C:$C, $G126))</f>
        <v>1895762.5581355512</v>
      </c>
      <c r="N126" s="37">
        <f>IF(G126="", "", SUMIFS('Non-State'!BH:BH, 'Non-State'!$C:$C, $G126))</f>
        <v>0</v>
      </c>
      <c r="O126" s="37">
        <f>IF(G126="","",SUMIFS('Non-State'!BO:BO,'Non-State'!$C:$C,$G126)-SUMIFS('Non-State'!BN:BN,'Non-State'!$C:$C,$G126))</f>
        <v>1895762.56</v>
      </c>
      <c r="P126" s="37">
        <f>IF(OR(F126="", F126="No Results"),  "", SUMIFS('Non-State'!CF:CF, 'Non-State'!C:C, $G126)+SUMIFS('Non-State'!CG:CG, 'Non-State'!C:C, $G126))</f>
        <v>0</v>
      </c>
      <c r="Q126" s="37">
        <f>IF(OR(G126="", G126="No Results"),  "", SUMIFS('Non-State'!CG:CG, 'Non-State'!C:C, $G126))</f>
        <v>0</v>
      </c>
    </row>
    <row r="127" spans="6:17" x14ac:dyDescent="0.25">
      <c r="F127" s="66">
        <f t="shared" si="5"/>
        <v>90</v>
      </c>
      <c r="G127" s="66" t="str">
        <f>IF(OR(F127="", F127="No Results"),  "", INDEX('Non-State'!C:C, MATCH($F127, 'Non-State'!B:B, 0)))</f>
        <v>137245009</v>
      </c>
      <c r="H127" s="66" t="str">
        <f>IF(OR(F127="", F127="No Results"), "", INDEX('Non-State'!E:E, MATCH($G127, 'Non-State'!$C:$C, 0)))</f>
        <v>1467442418</v>
      </c>
      <c r="I127" s="67" t="str">
        <f>IF(OR(G127="", G127="No Results"), "", INDEX('Non-State'!F:F, MATCH($G127, 'Non-State'!$C:$C, 0)))</f>
        <v>Northwest Texas Health Care System</v>
      </c>
      <c r="J127" s="37">
        <f>IF(G127="", "", SUMIFS('Non-State'!CH:CH, 'Non-State'!C:C, $G127))</f>
        <v>8000000</v>
      </c>
      <c r="K127" s="37">
        <f>IF(G127="", "", SUMIFS('Non-State'!BG:BG, 'Non-State'!$C:$C, $G127))</f>
        <v>0</v>
      </c>
      <c r="L127" s="37">
        <f>IF(G127="", "",  SUMIFS('Non-State'!BL:BL, 'Non-State'!$C:$C, $G127)+SUMIFS('Non-State'!CA:CA, 'Non-State'!$C:$C, $G127))</f>
        <v>8000000</v>
      </c>
      <c r="M127" s="37">
        <f>IF(G127="", "", SUMIFS('Non-State'!BD:BD, 'Non-State'!$C:$C, $G127))</f>
        <v>0</v>
      </c>
      <c r="N127" s="37">
        <f>IF(G127="", "", SUMIFS('Non-State'!BH:BH, 'Non-State'!$C:$C, $G127))</f>
        <v>0</v>
      </c>
      <c r="O127" s="37">
        <f>IF(G127="","",SUMIFS('Non-State'!BO:BO,'Non-State'!$C:$C,$G127)-SUMIFS('Non-State'!BN:BN,'Non-State'!$C:$C,$G127))</f>
        <v>0</v>
      </c>
      <c r="P127" s="37">
        <f>IF(OR(F127="", F127="No Results"),  "", SUMIFS('Non-State'!CF:CF, 'Non-State'!C:C, $G127)+SUMIFS('Non-State'!CG:CG, 'Non-State'!C:C, $G127))</f>
        <v>0</v>
      </c>
      <c r="Q127" s="37">
        <f>IF(OR(G127="", G127="No Results"),  "", SUMIFS('Non-State'!CG:CG, 'Non-State'!C:C, $G127))</f>
        <v>0</v>
      </c>
    </row>
    <row r="128" spans="6:17" x14ac:dyDescent="0.25">
      <c r="F128" s="66">
        <f t="shared" si="5"/>
        <v>91</v>
      </c>
      <c r="G128" s="66" t="str">
        <f>IF(OR(F128="", F128="No Results"),  "", INDEX('Non-State'!C:C, MATCH($F128, 'Non-State'!B:B, 0)))</f>
        <v>137249208</v>
      </c>
      <c r="H128" s="66" t="str">
        <f>IF(OR(F128="", F128="No Results"), "", INDEX('Non-State'!E:E, MATCH($G128, 'Non-State'!$C:$C, 0)))</f>
        <v>1477516466</v>
      </c>
      <c r="I128" s="67" t="str">
        <f>IF(OR(G128="", G128="No Results"), "", INDEX('Non-State'!F:F, MATCH($G128, 'Non-State'!$C:$C, 0)))</f>
        <v>Baylor Scott &amp; White Medical Center - Temple</v>
      </c>
      <c r="J128" s="37">
        <f>IF(G128="", "", SUMIFS('Non-State'!CH:CH, 'Non-State'!C:C, $G128))</f>
        <v>8000000</v>
      </c>
      <c r="K128" s="37">
        <f>IF(G128="", "", SUMIFS('Non-State'!BG:BG, 'Non-State'!$C:$C, $G128))</f>
        <v>0</v>
      </c>
      <c r="L128" s="37">
        <f>IF(G128="", "",  SUMIFS('Non-State'!BL:BL, 'Non-State'!$C:$C, $G128)+SUMIFS('Non-State'!CA:CA, 'Non-State'!$C:$C, $G128))</f>
        <v>8000000</v>
      </c>
      <c r="M128" s="37">
        <f>IF(G128="", "", SUMIFS('Non-State'!BD:BD, 'Non-State'!$C:$C, $G128))</f>
        <v>0</v>
      </c>
      <c r="N128" s="37">
        <f>IF(G128="", "", SUMIFS('Non-State'!BH:BH, 'Non-State'!$C:$C, $G128))</f>
        <v>0</v>
      </c>
      <c r="O128" s="37">
        <f>IF(G128="","",SUMIFS('Non-State'!BO:BO,'Non-State'!$C:$C,$G128)-SUMIFS('Non-State'!BN:BN,'Non-State'!$C:$C,$G128))</f>
        <v>0</v>
      </c>
      <c r="P128" s="37">
        <f>IF(OR(F128="", F128="No Results"),  "", SUMIFS('Non-State'!CF:CF, 'Non-State'!C:C, $G128)+SUMIFS('Non-State'!CG:CG, 'Non-State'!C:C, $G128))</f>
        <v>0</v>
      </c>
      <c r="Q128" s="37">
        <f>IF(OR(G128="", G128="No Results"),  "", SUMIFS('Non-State'!CG:CG, 'Non-State'!C:C, $G128))</f>
        <v>0</v>
      </c>
    </row>
    <row r="129" spans="6:17" x14ac:dyDescent="0.25">
      <c r="F129" s="66">
        <f t="shared" si="5"/>
        <v>92</v>
      </c>
      <c r="G129" s="66" t="str">
        <f>IF(OR(F129="", F129="No Results"),  "", INDEX('Non-State'!C:C, MATCH($F129, 'Non-State'!B:B, 0)))</f>
        <v>137805107</v>
      </c>
      <c r="H129" s="66" t="str">
        <f>IF(OR(F129="", F129="No Results"), "", INDEX('Non-State'!E:E, MATCH($G129, 'Non-State'!$C:$C, 0)))</f>
        <v>1982666111</v>
      </c>
      <c r="I129" s="67" t="str">
        <f>IF(OR(G129="", G129="No Results"), "", INDEX('Non-State'!F:F, MATCH($G129, 'Non-State'!$C:$C, 0)))</f>
        <v>Memorial Hermann Texas Medical Center</v>
      </c>
      <c r="J129" s="37">
        <f>IF(G129="", "", SUMIFS('Non-State'!CH:CH, 'Non-State'!C:C, $G129))</f>
        <v>8000000</v>
      </c>
      <c r="K129" s="37">
        <f>IF(G129="", "", SUMIFS('Non-State'!BG:BG, 'Non-State'!$C:$C, $G129))</f>
        <v>0</v>
      </c>
      <c r="L129" s="37">
        <f>IF(G129="", "",  SUMIFS('Non-State'!BL:BL, 'Non-State'!$C:$C, $G129)+SUMIFS('Non-State'!CA:CA, 'Non-State'!$C:$C, $G129))</f>
        <v>8000000</v>
      </c>
      <c r="M129" s="37">
        <f>IF(G129="", "", SUMIFS('Non-State'!BD:BD, 'Non-State'!$C:$C, $G129))</f>
        <v>0</v>
      </c>
      <c r="N129" s="37">
        <f>IF(G129="", "", SUMIFS('Non-State'!BH:BH, 'Non-State'!$C:$C, $G129))</f>
        <v>0</v>
      </c>
      <c r="O129" s="37">
        <f>IF(G129="","",SUMIFS('Non-State'!BO:BO,'Non-State'!$C:$C,$G129)-SUMIFS('Non-State'!BN:BN,'Non-State'!$C:$C,$G129))</f>
        <v>0</v>
      </c>
      <c r="P129" s="37">
        <f>IF(OR(F129="", F129="No Results"),  "", SUMIFS('Non-State'!CF:CF, 'Non-State'!C:C, $G129)+SUMIFS('Non-State'!CG:CG, 'Non-State'!C:C, $G129))</f>
        <v>0</v>
      </c>
      <c r="Q129" s="37">
        <f>IF(OR(G129="", G129="No Results"),  "", SUMIFS('Non-State'!CG:CG, 'Non-State'!C:C, $G129))</f>
        <v>0</v>
      </c>
    </row>
    <row r="130" spans="6:17" x14ac:dyDescent="0.25">
      <c r="F130" s="66">
        <f t="shared" si="5"/>
        <v>93</v>
      </c>
      <c r="G130" s="66" t="str">
        <f>IF(OR(F130="", F130="No Results"),  "", INDEX('Non-State'!C:C, MATCH($F130, 'Non-State'!B:B, 0)))</f>
        <v>137999206</v>
      </c>
      <c r="H130" s="66" t="str">
        <f>IF(OR(F130="", F130="No Results"), "", INDEX('Non-State'!E:E, MATCH($G130, 'Non-State'!$C:$C, 0)))</f>
        <v>1821087164</v>
      </c>
      <c r="I130" s="67" t="str">
        <f>IF(OR(G130="", G130="No Results"), "", INDEX('Non-State'!F:F, MATCH($G130, 'Non-State'!$C:$C, 0)))</f>
        <v>UMC Health System</v>
      </c>
      <c r="J130" s="37">
        <f>IF(G130="", "", SUMIFS('Non-State'!CH:CH, 'Non-State'!C:C, $G130))</f>
        <v>34841549.689999998</v>
      </c>
      <c r="K130" s="37">
        <f>IF(G130="", "", SUMIFS('Non-State'!BG:BG, 'Non-State'!$C:$C, $G130))</f>
        <v>0</v>
      </c>
      <c r="L130" s="37">
        <f>IF(G130="", "",  SUMIFS('Non-State'!BL:BL, 'Non-State'!$C:$C, $G130)+SUMIFS('Non-State'!CA:CA, 'Non-State'!$C:$C, $G130))</f>
        <v>34841549.689999998</v>
      </c>
      <c r="M130" s="37">
        <f>IF(G130="", "", SUMIFS('Non-State'!BD:BD, 'Non-State'!$C:$C, $G130))</f>
        <v>12239836.407800654</v>
      </c>
      <c r="N130" s="37">
        <f>IF(G130="", "", SUMIFS('Non-State'!BH:BH, 'Non-State'!$C:$C, $G130))</f>
        <v>0</v>
      </c>
      <c r="O130" s="37">
        <f>IF(G130="","",SUMIFS('Non-State'!BO:BO,'Non-State'!$C:$C,$G130)-SUMIFS('Non-State'!BN:BN,'Non-State'!$C:$C,$G130))</f>
        <v>12239836.41</v>
      </c>
      <c r="P130" s="37">
        <f>IF(OR(F130="", F130="No Results"),  "", SUMIFS('Non-State'!CF:CF, 'Non-State'!C:C, $G130)+SUMIFS('Non-State'!CG:CG, 'Non-State'!C:C, $G130))</f>
        <v>0</v>
      </c>
      <c r="Q130" s="37">
        <f>IF(OR(G130="", G130="No Results"),  "", SUMIFS('Non-State'!CG:CG, 'Non-State'!C:C, $G130))</f>
        <v>0</v>
      </c>
    </row>
    <row r="131" spans="6:17" x14ac:dyDescent="0.25">
      <c r="F131" s="66">
        <f t="shared" si="5"/>
        <v>94</v>
      </c>
      <c r="G131" s="66" t="str">
        <f>IF(OR(F131="", F131="No Results"),  "", INDEX('Non-State'!C:C, MATCH($F131, 'Non-State'!B:B, 0)))</f>
        <v>138296208</v>
      </c>
      <c r="H131" s="66" t="str">
        <f>IF(OR(F131="", F131="No Results"), "", INDEX('Non-State'!E:E, MATCH($G131, 'Non-State'!$C:$C, 0)))</f>
        <v>1679557888</v>
      </c>
      <c r="I131" s="67" t="str">
        <f>IF(OR(G131="", G131="No Results"), "", INDEX('Non-State'!F:F, MATCH($G131, 'Non-State'!$C:$C, 0)))</f>
        <v>DBA CHRISTUS Hospital</v>
      </c>
      <c r="J131" s="37">
        <f>IF(G131="", "", SUMIFS('Non-State'!CH:CH, 'Non-State'!C:C, $G131))</f>
        <v>6000000</v>
      </c>
      <c r="K131" s="37">
        <f>IF(G131="", "", SUMIFS('Non-State'!BG:BG, 'Non-State'!$C:$C, $G131))</f>
        <v>0</v>
      </c>
      <c r="L131" s="37">
        <f>IF(G131="", "",  SUMIFS('Non-State'!BL:BL, 'Non-State'!$C:$C, $G131)+SUMIFS('Non-State'!CA:CA, 'Non-State'!$C:$C, $G131))</f>
        <v>6000000</v>
      </c>
      <c r="M131" s="37">
        <f>IF(G131="", "", SUMIFS('Non-State'!BD:BD, 'Non-State'!$C:$C, $G131))</f>
        <v>0</v>
      </c>
      <c r="N131" s="37">
        <f>IF(G131="", "", SUMIFS('Non-State'!BH:BH, 'Non-State'!$C:$C, $G131))</f>
        <v>0</v>
      </c>
      <c r="O131" s="37">
        <f>IF(G131="","",SUMIFS('Non-State'!BO:BO,'Non-State'!$C:$C,$G131)-SUMIFS('Non-State'!BN:BN,'Non-State'!$C:$C,$G131))</f>
        <v>0</v>
      </c>
      <c r="P131" s="37">
        <f>IF(OR(F131="", F131="No Results"),  "", SUMIFS('Non-State'!CF:CF, 'Non-State'!C:C, $G131)+SUMIFS('Non-State'!CG:CG, 'Non-State'!C:C, $G131))</f>
        <v>0</v>
      </c>
      <c r="Q131" s="37">
        <f>IF(OR(G131="", G131="No Results"),  "", SUMIFS('Non-State'!CG:CG, 'Non-State'!C:C, $G131))</f>
        <v>0</v>
      </c>
    </row>
    <row r="132" spans="6:17" x14ac:dyDescent="0.25">
      <c r="F132" s="66">
        <f t="shared" si="5"/>
        <v>95</v>
      </c>
      <c r="G132" s="66" t="str">
        <f>IF(OR(F132="", F132="No Results"),  "", INDEX('Non-State'!C:C, MATCH($F132, 'Non-State'!B:B, 0)))</f>
        <v>138353107</v>
      </c>
      <c r="H132" s="66" t="str">
        <f>IF(OR(F132="", F132="No Results"), "", INDEX('Non-State'!E:E, MATCH($G132, 'Non-State'!$C:$C, 0)))</f>
        <v>1194893263</v>
      </c>
      <c r="I132" s="67" t="str">
        <f>IF(OR(G132="", G132="No Results"), "", INDEX('Non-State'!F:F, MATCH($G132, 'Non-State'!$C:$C, 0)))</f>
        <v>Seymour Hospital</v>
      </c>
      <c r="J132" s="37">
        <f>IF(G132="", "", SUMIFS('Non-State'!CH:CH, 'Non-State'!C:C, $G132))</f>
        <v>868199.93</v>
      </c>
      <c r="K132" s="37">
        <f>IF(G132="", "", SUMIFS('Non-State'!BG:BG, 'Non-State'!$C:$C, $G132))</f>
        <v>0</v>
      </c>
      <c r="L132" s="37">
        <f>IF(G132="", "",  SUMIFS('Non-State'!BL:BL, 'Non-State'!$C:$C, $G132)+SUMIFS('Non-State'!CA:CA, 'Non-State'!$C:$C, $G132))</f>
        <v>868199.93</v>
      </c>
      <c r="M132" s="37">
        <f>IF(G132="", "", SUMIFS('Non-State'!BD:BD, 'Non-State'!$C:$C, $G132))</f>
        <v>304998.63715845224</v>
      </c>
      <c r="N132" s="37">
        <f>IF(G132="", "", SUMIFS('Non-State'!BH:BH, 'Non-State'!$C:$C, $G132))</f>
        <v>0</v>
      </c>
      <c r="O132" s="37">
        <f>IF(G132="","",SUMIFS('Non-State'!BO:BO,'Non-State'!$C:$C,$G132)-SUMIFS('Non-State'!BN:BN,'Non-State'!$C:$C,$G132))</f>
        <v>304998.64</v>
      </c>
      <c r="P132" s="37">
        <f>IF(OR(F132="", F132="No Results"),  "", SUMIFS('Non-State'!CF:CF, 'Non-State'!C:C, $G132)+SUMIFS('Non-State'!CG:CG, 'Non-State'!C:C, $G132))</f>
        <v>0</v>
      </c>
      <c r="Q132" s="37">
        <f>IF(OR(G132="", G132="No Results"),  "", SUMIFS('Non-State'!CG:CG, 'Non-State'!C:C, $G132))</f>
        <v>0</v>
      </c>
    </row>
    <row r="133" spans="6:17" x14ac:dyDescent="0.25">
      <c r="F133" s="66">
        <f t="shared" si="5"/>
        <v>96</v>
      </c>
      <c r="G133" s="66" t="str">
        <f>IF(OR(F133="", F133="No Results"),  "", INDEX('Non-State'!C:C, MATCH($F133, 'Non-State'!B:B, 0)))</f>
        <v>138644310</v>
      </c>
      <c r="H133" s="66" t="str">
        <f>IF(OR(F133="", F133="No Results"), "", INDEX('Non-State'!E:E, MATCH($G133, 'Non-State'!$C:$C, 0)))</f>
        <v>1528064649</v>
      </c>
      <c r="I133" s="67" t="str">
        <f>IF(OR(G133="", G133="No Results"), "", INDEX('Non-State'!F:F, MATCH($G133, 'Non-State'!$C:$C, 0)))</f>
        <v>Hendrick Medical Center</v>
      </c>
      <c r="J133" s="37">
        <f>IF(G133="", "", SUMIFS('Non-State'!CH:CH, 'Non-State'!C:C, $G133))</f>
        <v>12277629.880000001</v>
      </c>
      <c r="K133" s="37">
        <f>IF(G133="", "", SUMIFS('Non-State'!BG:BG, 'Non-State'!$C:$C, $G133))</f>
        <v>0</v>
      </c>
      <c r="L133" s="37">
        <f>IF(G133="", "",  SUMIFS('Non-State'!BL:BL, 'Non-State'!$C:$C, $G133)+SUMIFS('Non-State'!CA:CA, 'Non-State'!$C:$C, $G133))</f>
        <v>12277629.880000001</v>
      </c>
      <c r="M133" s="37">
        <f>IF(G133="", "", SUMIFS('Non-State'!BD:BD, 'Non-State'!$C:$C, $G133))</f>
        <v>0</v>
      </c>
      <c r="N133" s="37">
        <f>IF(G133="", "", SUMIFS('Non-State'!BH:BH, 'Non-State'!$C:$C, $G133))</f>
        <v>0</v>
      </c>
      <c r="O133" s="37">
        <f>IF(G133="","",SUMIFS('Non-State'!BO:BO,'Non-State'!$C:$C,$G133)-SUMIFS('Non-State'!BN:BN,'Non-State'!$C:$C,$G133))</f>
        <v>0</v>
      </c>
      <c r="P133" s="37">
        <f>IF(OR(F133="", F133="No Results"),  "", SUMIFS('Non-State'!CF:CF, 'Non-State'!C:C, $G133)+SUMIFS('Non-State'!CG:CG, 'Non-State'!C:C, $G133))</f>
        <v>0</v>
      </c>
      <c r="Q133" s="37">
        <f>IF(OR(G133="", G133="No Results"),  "", SUMIFS('Non-State'!CG:CG, 'Non-State'!C:C, $G133))</f>
        <v>0</v>
      </c>
    </row>
    <row r="134" spans="6:17" x14ac:dyDescent="0.25">
      <c r="F134" s="66">
        <f t="shared" si="5"/>
        <v>97</v>
      </c>
      <c r="G134" s="66" t="str">
        <f>IF(OR(F134="", F134="No Results"),  "", INDEX('Non-State'!C:C, MATCH($F134, 'Non-State'!B:B, 0)))</f>
        <v>138911619</v>
      </c>
      <c r="H134" s="66" t="str">
        <f>IF(OR(F134="", F134="No Results"), "", INDEX('Non-State'!E:E, MATCH($G134, 'Non-State'!$C:$C, 0)))</f>
        <v>1437148020</v>
      </c>
      <c r="I134" s="67" t="str">
        <f>IF(OR(G134="", G134="No Results"), "", INDEX('Non-State'!F:F, MATCH($G134, 'Non-State'!$C:$C, 0)))</f>
        <v>Cuero Regional Hospital</v>
      </c>
      <c r="J134" s="37">
        <f>IF(G134="", "", SUMIFS('Non-State'!CH:CH, 'Non-State'!C:C, $G134))</f>
        <v>2570353.89</v>
      </c>
      <c r="K134" s="37">
        <f>IF(G134="", "", SUMIFS('Non-State'!BG:BG, 'Non-State'!$C:$C, $G134))</f>
        <v>0</v>
      </c>
      <c r="L134" s="37">
        <f>IF(G134="", "",  SUMIFS('Non-State'!BL:BL, 'Non-State'!$C:$C, $G134)+SUMIFS('Non-State'!CA:CA, 'Non-State'!$C:$C, $G134))</f>
        <v>2570353.89</v>
      </c>
      <c r="M134" s="37">
        <f>IF(G134="", "", SUMIFS('Non-State'!BD:BD, 'Non-State'!$C:$C, $G134))</f>
        <v>902965.32209256955</v>
      </c>
      <c r="N134" s="37">
        <f>IF(G134="", "", SUMIFS('Non-State'!BH:BH, 'Non-State'!$C:$C, $G134))</f>
        <v>0</v>
      </c>
      <c r="O134" s="37">
        <f>IF(G134="","",SUMIFS('Non-State'!BO:BO,'Non-State'!$C:$C,$G134)-SUMIFS('Non-State'!BN:BN,'Non-State'!$C:$C,$G134))</f>
        <v>902965.32</v>
      </c>
      <c r="P134" s="37">
        <f>IF(OR(F134="", F134="No Results"),  "", SUMIFS('Non-State'!CF:CF, 'Non-State'!C:C, $G134)+SUMIFS('Non-State'!CG:CG, 'Non-State'!C:C, $G134))</f>
        <v>0</v>
      </c>
      <c r="Q134" s="37">
        <f>IF(OR(G134="", G134="No Results"),  "", SUMIFS('Non-State'!CG:CG, 'Non-State'!C:C, $G134))</f>
        <v>0</v>
      </c>
    </row>
    <row r="135" spans="6:17" x14ac:dyDescent="0.25">
      <c r="F135" s="66">
        <f t="shared" si="5"/>
        <v>98</v>
      </c>
      <c r="G135" s="66" t="str">
        <f>IF(OR(F135="", F135="No Results"),  "", INDEX('Non-State'!C:C, MATCH($F135, 'Non-State'!B:B, 0)))</f>
        <v>138913209</v>
      </c>
      <c r="H135" s="66" t="str">
        <f>IF(OR(F135="", F135="No Results"), "", INDEX('Non-State'!E:E, MATCH($G135, 'Non-State'!$C:$C, 0)))</f>
        <v>1174526529</v>
      </c>
      <c r="I135" s="67" t="str">
        <f>IF(OR(G135="", G135="No Results"), "", INDEX('Non-State'!F:F, MATCH($G135, 'Non-State'!$C:$C, 0)))</f>
        <v>Titus Regional Medical Center</v>
      </c>
      <c r="J135" s="37">
        <f>IF(G135="", "", SUMIFS('Non-State'!CH:CH, 'Non-State'!C:C, $G135))</f>
        <v>1402425.59</v>
      </c>
      <c r="K135" s="37">
        <f>IF(G135="", "", SUMIFS('Non-State'!BG:BG, 'Non-State'!$C:$C, $G135))</f>
        <v>0</v>
      </c>
      <c r="L135" s="37">
        <f>IF(G135="", "",  SUMIFS('Non-State'!BL:BL, 'Non-State'!$C:$C, $G135)+SUMIFS('Non-State'!CA:CA, 'Non-State'!$C:$C, $G135))</f>
        <v>1402425.59</v>
      </c>
      <c r="M135" s="37">
        <f>IF(G135="", "", SUMIFS('Non-State'!BD:BD, 'Non-State'!$C:$C, $G135))</f>
        <v>492672.1088302834</v>
      </c>
      <c r="N135" s="37">
        <f>IF(G135="", "", SUMIFS('Non-State'!BH:BH, 'Non-State'!$C:$C, $G135))</f>
        <v>0</v>
      </c>
      <c r="O135" s="37">
        <f>IF(G135="","",SUMIFS('Non-State'!BO:BO,'Non-State'!$C:$C,$G135)-SUMIFS('Non-State'!BN:BN,'Non-State'!$C:$C,$G135))</f>
        <v>492672.11</v>
      </c>
      <c r="P135" s="37">
        <f>IF(OR(F135="", F135="No Results"),  "", SUMIFS('Non-State'!CF:CF, 'Non-State'!C:C, $G135)+SUMIFS('Non-State'!CG:CG, 'Non-State'!C:C, $G135))</f>
        <v>0</v>
      </c>
      <c r="Q135" s="37">
        <f>IF(OR(G135="", G135="No Results"),  "", SUMIFS('Non-State'!CG:CG, 'Non-State'!C:C, $G135))</f>
        <v>0</v>
      </c>
    </row>
    <row r="136" spans="6:17" x14ac:dyDescent="0.25">
      <c r="F136" s="66">
        <f t="shared" si="5"/>
        <v>99</v>
      </c>
      <c r="G136" s="66" t="str">
        <f>IF(OR(F136="", F136="No Results"),  "", INDEX('Non-State'!C:C, MATCH($F136, 'Non-State'!B:B, 0)))</f>
        <v>138950412</v>
      </c>
      <c r="H136" s="66" t="str">
        <f>IF(OR(F136="", F136="No Results"), "", INDEX('Non-State'!E:E, MATCH($G136, 'Non-State'!$C:$C, 0)))</f>
        <v>1972590602</v>
      </c>
      <c r="I136" s="67" t="str">
        <f>IF(OR(G136="", G136="No Results"), "", INDEX('Non-State'!F:F, MATCH($G136, 'Non-State'!$C:$C, 0)))</f>
        <v>Palo Pinto General Hospital</v>
      </c>
      <c r="J136" s="37">
        <f>IF(G136="", "", SUMIFS('Non-State'!CH:CH, 'Non-State'!C:C, $G136))</f>
        <v>7405023.0999999996</v>
      </c>
      <c r="K136" s="37">
        <f>IF(G136="", "", SUMIFS('Non-State'!BG:BG, 'Non-State'!$C:$C, $G136))</f>
        <v>0</v>
      </c>
      <c r="L136" s="37">
        <f>IF(G136="", "",  SUMIFS('Non-State'!BL:BL, 'Non-State'!$C:$C, $G136)+SUMIFS('Non-State'!CA:CA, 'Non-State'!$C:$C, $G136))</f>
        <v>7405023.0999999996</v>
      </c>
      <c r="M136" s="37">
        <f>IF(G136="", "", SUMIFS('Non-State'!BD:BD, 'Non-State'!$C:$C, $G136))</f>
        <v>2601384.6156924381</v>
      </c>
      <c r="N136" s="37">
        <f>IF(G136="", "", SUMIFS('Non-State'!BH:BH, 'Non-State'!$C:$C, $G136))</f>
        <v>0</v>
      </c>
      <c r="O136" s="37">
        <f>IF(G136="","",SUMIFS('Non-State'!BO:BO,'Non-State'!$C:$C,$G136)-SUMIFS('Non-State'!BN:BN,'Non-State'!$C:$C,$G136))</f>
        <v>2601384.62</v>
      </c>
      <c r="P136" s="37">
        <f>IF(OR(F136="", F136="No Results"),  "", SUMIFS('Non-State'!CF:CF, 'Non-State'!C:C, $G136)+SUMIFS('Non-State'!CG:CG, 'Non-State'!C:C, $G136))</f>
        <v>0</v>
      </c>
      <c r="Q136" s="37">
        <f>IF(OR(G136="", G136="No Results"),  "", SUMIFS('Non-State'!CG:CG, 'Non-State'!C:C, $G136))</f>
        <v>0</v>
      </c>
    </row>
    <row r="137" spans="6:17" x14ac:dyDescent="0.25">
      <c r="F137" s="66">
        <f t="shared" si="5"/>
        <v>100</v>
      </c>
      <c r="G137" s="66" t="str">
        <f>IF(OR(F137="", F137="No Results"),  "", INDEX('Non-State'!C:C, MATCH($F137, 'Non-State'!B:B, 0)))</f>
        <v>138951211</v>
      </c>
      <c r="H137" s="66" t="str">
        <f>IF(OR(F137="", F137="No Results"), "", INDEX('Non-State'!E:E, MATCH($G137, 'Non-State'!$C:$C, 0)))</f>
        <v>1316936990</v>
      </c>
      <c r="I137" s="67" t="str">
        <f>IF(OR(G137="", G137="No Results"), "", INDEX('Non-State'!F:F, MATCH($G137, 'Non-State'!$C:$C, 0)))</f>
        <v>University Medical Center Of El Paso</v>
      </c>
      <c r="J137" s="37">
        <f>IF(G137="", "", SUMIFS('Non-State'!CH:CH, 'Non-State'!C:C, $G137))</f>
        <v>91313235.59466055</v>
      </c>
      <c r="K137" s="37">
        <f>IF(G137="", "", SUMIFS('Non-State'!BG:BG, 'Non-State'!$C:$C, $G137))</f>
        <v>0</v>
      </c>
      <c r="L137" s="37">
        <f>IF(G137="", "",  SUMIFS('Non-State'!BL:BL, 'Non-State'!$C:$C, $G137)+SUMIFS('Non-State'!CA:CA, 'Non-State'!$C:$C, $G137))</f>
        <v>90544688.459999993</v>
      </c>
      <c r="M137" s="37">
        <f>IF(G137="", "", SUMIFS('Non-State'!BD:BD, 'Non-State'!$C:$C, $G137))</f>
        <v>52310804.788175546</v>
      </c>
      <c r="N137" s="37">
        <f>IF(G137="", "", SUMIFS('Non-State'!BH:BH, 'Non-State'!$C:$C, $G137))</f>
        <v>0</v>
      </c>
      <c r="O137" s="37">
        <f>IF(G137="","",SUMIFS('Non-State'!BO:BO,'Non-State'!$C:$C,$G137)-SUMIFS('Non-State'!BN:BN,'Non-State'!$C:$C,$G137))</f>
        <v>52310804.789999999</v>
      </c>
      <c r="P137" s="37">
        <f>IF(OR(F137="", F137="No Results"),  "", SUMIFS('Non-State'!CF:CF, 'Non-State'!C:C, $G137)+SUMIFS('Non-State'!CG:CG, 'Non-State'!C:C, $G137))</f>
        <v>768547.13466055715</v>
      </c>
      <c r="Q137" s="37">
        <f>IF(OR(G137="", G137="No Results"),  "", SUMIFS('Non-State'!CG:CG, 'Non-State'!C:C, $G137))</f>
        <v>768547.13466055715</v>
      </c>
    </row>
    <row r="138" spans="6:17" x14ac:dyDescent="0.25">
      <c r="F138" s="66">
        <f t="shared" si="5"/>
        <v>101</v>
      </c>
      <c r="G138" s="66" t="str">
        <f>IF(OR(F138="", F138="No Results"),  "", INDEX('Non-State'!C:C, MATCH($F138, 'Non-State'!B:B, 0)))</f>
        <v>138962907</v>
      </c>
      <c r="H138" s="66" t="str">
        <f>IF(OR(F138="", F138="No Results"), "", INDEX('Non-State'!E:E, MATCH($G138, 'Non-State'!$C:$C, 0)))</f>
        <v>1891882833</v>
      </c>
      <c r="I138" s="67" t="str">
        <f>IF(OR(G138="", G138="No Results"), "", INDEX('Non-State'!F:F, MATCH($G138, 'Non-State'!$C:$C, 0)))</f>
        <v>Hillcrest Baptist Medical Center</v>
      </c>
      <c r="J138" s="37">
        <f>IF(G138="", "", SUMIFS('Non-State'!CH:CH, 'Non-State'!C:C, $G138))</f>
        <v>8000000</v>
      </c>
      <c r="K138" s="37">
        <f>IF(G138="", "", SUMIFS('Non-State'!BG:BG, 'Non-State'!$C:$C, $G138))</f>
        <v>0</v>
      </c>
      <c r="L138" s="37">
        <f>IF(G138="", "",  SUMIFS('Non-State'!BL:BL, 'Non-State'!$C:$C, $G138)+SUMIFS('Non-State'!CA:CA, 'Non-State'!$C:$C, $G138))</f>
        <v>8000000</v>
      </c>
      <c r="M138" s="37">
        <f>IF(G138="", "", SUMIFS('Non-State'!BD:BD, 'Non-State'!$C:$C, $G138))</f>
        <v>0</v>
      </c>
      <c r="N138" s="37">
        <f>IF(G138="", "", SUMIFS('Non-State'!BH:BH, 'Non-State'!$C:$C, $G138))</f>
        <v>0</v>
      </c>
      <c r="O138" s="37">
        <f>IF(G138="","",SUMIFS('Non-State'!BO:BO,'Non-State'!$C:$C,$G138)-SUMIFS('Non-State'!BN:BN,'Non-State'!$C:$C,$G138))</f>
        <v>0</v>
      </c>
      <c r="P138" s="37">
        <f>IF(OR(F138="", F138="No Results"),  "", SUMIFS('Non-State'!CF:CF, 'Non-State'!C:C, $G138)+SUMIFS('Non-State'!CG:CG, 'Non-State'!C:C, $G138))</f>
        <v>0</v>
      </c>
      <c r="Q138" s="37">
        <f>IF(OR(G138="", G138="No Results"),  "", SUMIFS('Non-State'!CG:CG, 'Non-State'!C:C, $G138))</f>
        <v>0</v>
      </c>
    </row>
    <row r="139" spans="6:17" x14ac:dyDescent="0.25">
      <c r="F139" s="66">
        <f t="shared" si="5"/>
        <v>102</v>
      </c>
      <c r="G139" s="66" t="str">
        <f>IF(OR(F139="", F139="No Results"),  "", INDEX('Non-State'!C:C, MATCH($F139, 'Non-State'!B:B, 0)))</f>
        <v>139485012</v>
      </c>
      <c r="H139" s="66" t="str">
        <f>IF(OR(F139="", F139="No Results"), "", INDEX('Non-State'!E:E, MATCH($G139, 'Non-State'!$C:$C, 0)))</f>
        <v>1447250253</v>
      </c>
      <c r="I139" s="67" t="str">
        <f>IF(OR(G139="", G139="No Results"), "", INDEX('Non-State'!F:F, MATCH($G139, 'Non-State'!$C:$C, 0)))</f>
        <v>Baylor Scott &amp; White Medical Center - Dallas</v>
      </c>
      <c r="J139" s="37">
        <f>IF(G139="", "", SUMIFS('Non-State'!CH:CH, 'Non-State'!C:C, $G139))</f>
        <v>29832721.57</v>
      </c>
      <c r="K139" s="37">
        <f>IF(G139="", "", SUMIFS('Non-State'!BG:BG, 'Non-State'!$C:$C, $G139))</f>
        <v>0</v>
      </c>
      <c r="L139" s="37">
        <f>IF(G139="", "",  SUMIFS('Non-State'!BL:BL, 'Non-State'!$C:$C, $G139)+SUMIFS('Non-State'!CA:CA, 'Non-State'!$C:$C, $G139))</f>
        <v>29832721.57</v>
      </c>
      <c r="M139" s="37">
        <f>IF(G139="", "", SUMIFS('Non-State'!BD:BD, 'Non-State'!$C:$C, $G139))</f>
        <v>0</v>
      </c>
      <c r="N139" s="37">
        <f>IF(G139="", "", SUMIFS('Non-State'!BH:BH, 'Non-State'!$C:$C, $G139))</f>
        <v>0</v>
      </c>
      <c r="O139" s="37">
        <f>IF(G139="","",SUMIFS('Non-State'!BO:BO,'Non-State'!$C:$C,$G139)-SUMIFS('Non-State'!BN:BN,'Non-State'!$C:$C,$G139))</f>
        <v>0</v>
      </c>
      <c r="P139" s="37">
        <f>IF(OR(F139="", F139="No Results"),  "", SUMIFS('Non-State'!CF:CF, 'Non-State'!C:C, $G139)+SUMIFS('Non-State'!CG:CG, 'Non-State'!C:C, $G139))</f>
        <v>0</v>
      </c>
      <c r="Q139" s="37">
        <f>IF(OR(G139="", G139="No Results"),  "", SUMIFS('Non-State'!CG:CG, 'Non-State'!C:C, $G139))</f>
        <v>0</v>
      </c>
    </row>
    <row r="140" spans="6:17" x14ac:dyDescent="0.25">
      <c r="F140" s="66">
        <f t="shared" si="5"/>
        <v>103</v>
      </c>
      <c r="G140" s="66" t="str">
        <f>IF(OR(F140="", F140="No Results"),  "", INDEX('Non-State'!C:C, MATCH($F140, 'Non-State'!B:B, 0)))</f>
        <v>140714001</v>
      </c>
      <c r="H140" s="66" t="str">
        <f>IF(OR(F140="", F140="No Results"), "", INDEX('Non-State'!E:E, MATCH($G140, 'Non-State'!$C:$C, 0)))</f>
        <v>1861487779</v>
      </c>
      <c r="I140" s="67" t="str">
        <f>IF(OR(G140="", G140="No Results"), "", INDEX('Non-State'!F:F, MATCH($G140, 'Non-State'!$C:$C, 0)))</f>
        <v>Limestone Medical Center</v>
      </c>
      <c r="J140" s="37">
        <f>IF(G140="", "", SUMIFS('Non-State'!CH:CH, 'Non-State'!C:C, $G140))</f>
        <v>1149299.48</v>
      </c>
      <c r="K140" s="37">
        <f>IF(G140="", "", SUMIFS('Non-State'!BG:BG, 'Non-State'!$C:$C, $G140))</f>
        <v>0</v>
      </c>
      <c r="L140" s="37">
        <f>IF(G140="", "",  SUMIFS('Non-State'!BL:BL, 'Non-State'!$C:$C, $G140)+SUMIFS('Non-State'!CA:CA, 'Non-State'!$C:$C, $G140))</f>
        <v>1149299.48</v>
      </c>
      <c r="M140" s="37">
        <f>IF(G140="", "", SUMIFS('Non-State'!BD:BD, 'Non-State'!$C:$C, $G140))</f>
        <v>403748.90887976839</v>
      </c>
      <c r="N140" s="37">
        <f>IF(G140="", "", SUMIFS('Non-State'!BH:BH, 'Non-State'!$C:$C, $G140))</f>
        <v>0</v>
      </c>
      <c r="O140" s="37">
        <f>IF(G140="","",SUMIFS('Non-State'!BO:BO,'Non-State'!$C:$C,$G140)-SUMIFS('Non-State'!BN:BN,'Non-State'!$C:$C,$G140))</f>
        <v>403748.91</v>
      </c>
      <c r="P140" s="37">
        <f>IF(OR(F140="", F140="No Results"),  "", SUMIFS('Non-State'!CF:CF, 'Non-State'!C:C, $G140)+SUMIFS('Non-State'!CG:CG, 'Non-State'!C:C, $G140))</f>
        <v>0</v>
      </c>
      <c r="Q140" s="37">
        <f>IF(OR(G140="", G140="No Results"),  "", SUMIFS('Non-State'!CG:CG, 'Non-State'!C:C, $G140))</f>
        <v>0</v>
      </c>
    </row>
    <row r="141" spans="6:17" x14ac:dyDescent="0.25">
      <c r="F141" s="66">
        <f t="shared" si="5"/>
        <v>104</v>
      </c>
      <c r="G141" s="66" t="str">
        <f>IF(OR(F141="", F141="No Results"),  "", INDEX('Non-State'!C:C, MATCH($F141, 'Non-State'!B:B, 0)))</f>
        <v>159156201</v>
      </c>
      <c r="H141" s="66" t="str">
        <f>IF(OR(F141="", F141="No Results"), "", INDEX('Non-State'!E:E, MATCH($G141, 'Non-State'!$C:$C, 0)))</f>
        <v>1598744856</v>
      </c>
      <c r="I141" s="67" t="str">
        <f>IF(OR(G141="", G141="No Results"), "", INDEX('Non-State'!F:F, MATCH($G141, 'Non-State'!$C:$C, 0)))</f>
        <v>Baptist Health System</v>
      </c>
      <c r="J141" s="37">
        <f>IF(G141="", "", SUMIFS('Non-State'!CH:CH, 'Non-State'!C:C, $G141))</f>
        <v>8000000</v>
      </c>
      <c r="K141" s="37">
        <f>IF(G141="", "", SUMIFS('Non-State'!BG:BG, 'Non-State'!$C:$C, $G141))</f>
        <v>0</v>
      </c>
      <c r="L141" s="37">
        <f>IF(G141="", "",  SUMIFS('Non-State'!BL:BL, 'Non-State'!$C:$C, $G141)+SUMIFS('Non-State'!CA:CA, 'Non-State'!$C:$C, $G141))</f>
        <v>8000000</v>
      </c>
      <c r="M141" s="37">
        <f>IF(G141="", "", SUMIFS('Non-State'!BD:BD, 'Non-State'!$C:$C, $G141))</f>
        <v>0</v>
      </c>
      <c r="N141" s="37">
        <f>IF(G141="", "", SUMIFS('Non-State'!BH:BH, 'Non-State'!$C:$C, $G141))</f>
        <v>0</v>
      </c>
      <c r="O141" s="37">
        <f>IF(G141="","",SUMIFS('Non-State'!BO:BO,'Non-State'!$C:$C,$G141)-SUMIFS('Non-State'!BN:BN,'Non-State'!$C:$C,$G141))</f>
        <v>0</v>
      </c>
      <c r="P141" s="37">
        <f>IF(OR(F141="", F141="No Results"),  "", SUMIFS('Non-State'!CF:CF, 'Non-State'!C:C, $G141)+SUMIFS('Non-State'!CG:CG, 'Non-State'!C:C, $G141))</f>
        <v>0</v>
      </c>
      <c r="Q141" s="37">
        <f>IF(OR(G141="", G141="No Results"),  "", SUMIFS('Non-State'!CG:CG, 'Non-State'!C:C, $G141))</f>
        <v>0</v>
      </c>
    </row>
    <row r="142" spans="6:17" x14ac:dyDescent="0.25">
      <c r="F142" s="66">
        <f t="shared" si="5"/>
        <v>105</v>
      </c>
      <c r="G142" s="66" t="str">
        <f>IF(OR(F142="", F142="No Results"),  "", INDEX('Non-State'!C:C, MATCH($F142, 'Non-State'!B:B, 0)))</f>
        <v>160709501</v>
      </c>
      <c r="H142" s="66" t="str">
        <f>IF(OR(F142="", F142="No Results"), "", INDEX('Non-State'!E:E, MATCH($G142, 'Non-State'!$C:$C, 0)))</f>
        <v>1053317362</v>
      </c>
      <c r="I142" s="67" t="str">
        <f>IF(OR(G142="", G142="No Results"), "", INDEX('Non-State'!F:F, MATCH($G142, 'Non-State'!$C:$C, 0)))</f>
        <v>Doctors Hospital At Renaissance, Ltd</v>
      </c>
      <c r="J142" s="37">
        <f>IF(G142="", "", SUMIFS('Non-State'!CH:CH, 'Non-State'!C:C, $G142))</f>
        <v>18830469.75</v>
      </c>
      <c r="K142" s="37">
        <f>IF(G142="", "", SUMIFS('Non-State'!BG:BG, 'Non-State'!$C:$C, $G142))</f>
        <v>0</v>
      </c>
      <c r="L142" s="37">
        <f>IF(G142="", "",  SUMIFS('Non-State'!BL:BL, 'Non-State'!$C:$C, $G142)+SUMIFS('Non-State'!CA:CA, 'Non-State'!$C:$C, $G142))</f>
        <v>18830469.75</v>
      </c>
      <c r="M142" s="37">
        <f>IF(G142="", "", SUMIFS('Non-State'!BD:BD, 'Non-State'!$C:$C, $G142))</f>
        <v>0</v>
      </c>
      <c r="N142" s="37">
        <f>IF(G142="", "", SUMIFS('Non-State'!BH:BH, 'Non-State'!$C:$C, $G142))</f>
        <v>0</v>
      </c>
      <c r="O142" s="37">
        <f>IF(G142="","",SUMIFS('Non-State'!BO:BO,'Non-State'!$C:$C,$G142)-SUMIFS('Non-State'!BN:BN,'Non-State'!$C:$C,$G142))</f>
        <v>0</v>
      </c>
      <c r="P142" s="37">
        <f>IF(OR(F142="", F142="No Results"),  "", SUMIFS('Non-State'!CF:CF, 'Non-State'!C:C, $G142)+SUMIFS('Non-State'!CG:CG, 'Non-State'!C:C, $G142))</f>
        <v>0</v>
      </c>
      <c r="Q142" s="37">
        <f>IF(OR(G142="", G142="No Results"),  "", SUMIFS('Non-State'!CG:CG, 'Non-State'!C:C, $G142))</f>
        <v>0</v>
      </c>
    </row>
    <row r="143" spans="6:17" x14ac:dyDescent="0.25">
      <c r="F143" s="66">
        <f t="shared" si="5"/>
        <v>106</v>
      </c>
      <c r="G143" s="66" t="str">
        <f>IF(OR(F143="", F143="No Results"),  "", INDEX('Non-State'!C:C, MATCH($F143, 'Non-State'!B:B, 0)))</f>
        <v>162033801</v>
      </c>
      <c r="H143" s="66" t="str">
        <f>IF(OR(F143="", F143="No Results"), "", INDEX('Non-State'!E:E, MATCH($G143, 'Non-State'!$C:$C, 0)))</f>
        <v>1548232044</v>
      </c>
      <c r="I143" s="67" t="str">
        <f>IF(OR(G143="", G143="No Results"), "", INDEX('Non-State'!F:F, MATCH($G143, 'Non-State'!$C:$C, 0)))</f>
        <v>Laredo Medical Center</v>
      </c>
      <c r="J143" s="37">
        <f>IF(G143="", "", SUMIFS('Non-State'!CH:CH, 'Non-State'!C:C, $G143))</f>
        <v>8000000</v>
      </c>
      <c r="K143" s="37">
        <f>IF(G143="", "", SUMIFS('Non-State'!BG:BG, 'Non-State'!$C:$C, $G143))</f>
        <v>0</v>
      </c>
      <c r="L143" s="37">
        <f>IF(G143="", "",  SUMIFS('Non-State'!BL:BL, 'Non-State'!$C:$C, $G143)+SUMIFS('Non-State'!CA:CA, 'Non-State'!$C:$C, $G143))</f>
        <v>8000000</v>
      </c>
      <c r="M143" s="37">
        <f>IF(G143="", "", SUMIFS('Non-State'!BD:BD, 'Non-State'!$C:$C, $G143))</f>
        <v>0</v>
      </c>
      <c r="N143" s="37">
        <f>IF(G143="", "", SUMIFS('Non-State'!BH:BH, 'Non-State'!$C:$C, $G143))</f>
        <v>0</v>
      </c>
      <c r="O143" s="37">
        <f>IF(G143="","",SUMIFS('Non-State'!BO:BO,'Non-State'!$C:$C,$G143)-SUMIFS('Non-State'!BN:BN,'Non-State'!$C:$C,$G143))</f>
        <v>0</v>
      </c>
      <c r="P143" s="37">
        <f>IF(OR(F143="", F143="No Results"),  "", SUMIFS('Non-State'!CF:CF, 'Non-State'!C:C, $G143)+SUMIFS('Non-State'!CG:CG, 'Non-State'!C:C, $G143))</f>
        <v>0</v>
      </c>
      <c r="Q143" s="37">
        <f>IF(OR(G143="", G143="No Results"),  "", SUMIFS('Non-State'!CG:CG, 'Non-State'!C:C, $G143))</f>
        <v>0</v>
      </c>
    </row>
    <row r="144" spans="6:17" x14ac:dyDescent="0.25">
      <c r="F144" s="66">
        <f t="shared" si="5"/>
        <v>107</v>
      </c>
      <c r="G144" s="66" t="str">
        <f>IF(OR(F144="", F144="No Results"),  "", INDEX('Non-State'!C:C, MATCH($F144, 'Non-State'!B:B, 0)))</f>
        <v>163111101</v>
      </c>
      <c r="H144" s="66" t="str">
        <f>IF(OR(F144="", F144="No Results"), "", INDEX('Non-State'!E:E, MATCH($G144, 'Non-State'!$C:$C, 0)))</f>
        <v>1063411767</v>
      </c>
      <c r="I144" s="67" t="str">
        <f>IF(OR(G144="", G144="No Results"), "", INDEX('Non-State'!F:F, MATCH($G144, 'Non-State'!$C:$C, 0)))</f>
        <v>Paris Regional Medical Center</v>
      </c>
      <c r="J144" s="37">
        <f>IF(G144="", "", SUMIFS('Non-State'!CH:CH, 'Non-State'!C:C, $G144))</f>
        <v>1843148.1800000002</v>
      </c>
      <c r="K144" s="37">
        <f>IF(G144="", "", SUMIFS('Non-State'!BG:BG, 'Non-State'!$C:$C, $G144))</f>
        <v>0</v>
      </c>
      <c r="L144" s="37">
        <f>IF(G144="", "",  SUMIFS('Non-State'!BL:BL, 'Non-State'!$C:$C, $G144)+SUMIFS('Non-State'!CA:CA, 'Non-State'!$C:$C, $G144))</f>
        <v>1461644.53</v>
      </c>
      <c r="M144" s="37">
        <f>IF(G144="", "", SUMIFS('Non-State'!BD:BD, 'Non-State'!$C:$C, $G144))</f>
        <v>0</v>
      </c>
      <c r="N144" s="37">
        <f>IF(G144="", "", SUMIFS('Non-State'!BH:BH, 'Non-State'!$C:$C, $G144))</f>
        <v>0</v>
      </c>
      <c r="O144" s="37">
        <f>IF(G144="","",SUMIFS('Non-State'!BO:BO,'Non-State'!$C:$C,$G144)-SUMIFS('Non-State'!BN:BN,'Non-State'!$C:$C,$G144))</f>
        <v>0</v>
      </c>
      <c r="P144" s="37">
        <f>IF(OR(F144="", F144="No Results"),  "", SUMIFS('Non-State'!CF:CF, 'Non-State'!C:C, $G144)+SUMIFS('Non-State'!CG:CG, 'Non-State'!C:C, $G144))</f>
        <v>381503.65</v>
      </c>
      <c r="Q144" s="37">
        <f>IF(OR(G144="", G144="No Results"),  "", SUMIFS('Non-State'!CG:CG, 'Non-State'!C:C, $G144))</f>
        <v>0</v>
      </c>
    </row>
    <row r="145" spans="6:17" x14ac:dyDescent="0.25">
      <c r="F145" s="66">
        <f t="shared" si="5"/>
        <v>108</v>
      </c>
      <c r="G145" s="66" t="str">
        <f>IF(OR(F145="", F145="No Results"),  "", INDEX('Non-State'!C:C, MATCH($F145, 'Non-State'!B:B, 0)))</f>
        <v>163925401</v>
      </c>
      <c r="H145" s="66" t="str">
        <f>IF(OR(F145="", F145="No Results"), "", INDEX('Non-State'!E:E, MATCH($G145, 'Non-State'!$C:$C, 0)))</f>
        <v>1861467573</v>
      </c>
      <c r="I145" s="67" t="str">
        <f>IF(OR(G145="", G145="No Results"), "", INDEX('Non-State'!F:F, MATCH($G145, 'Non-State'!$C:$C, 0)))</f>
        <v>The Medical Center Of Southeast Texas</v>
      </c>
      <c r="J145" s="37">
        <f>IF(G145="", "", SUMIFS('Non-State'!CH:CH, 'Non-State'!C:C, $G145))</f>
        <v>6000000</v>
      </c>
      <c r="K145" s="37">
        <f>IF(G145="", "", SUMIFS('Non-State'!BG:BG, 'Non-State'!$C:$C, $G145))</f>
        <v>0</v>
      </c>
      <c r="L145" s="37">
        <f>IF(G145="", "",  SUMIFS('Non-State'!BL:BL, 'Non-State'!$C:$C, $G145)+SUMIFS('Non-State'!CA:CA, 'Non-State'!$C:$C, $G145))</f>
        <v>6000000</v>
      </c>
      <c r="M145" s="37">
        <f>IF(G145="", "", SUMIFS('Non-State'!BD:BD, 'Non-State'!$C:$C, $G145))</f>
        <v>0</v>
      </c>
      <c r="N145" s="37">
        <f>IF(G145="", "", SUMIFS('Non-State'!BH:BH, 'Non-State'!$C:$C, $G145))</f>
        <v>0</v>
      </c>
      <c r="O145" s="37">
        <f>IF(G145="","",SUMIFS('Non-State'!BO:BO,'Non-State'!$C:$C,$G145)-SUMIFS('Non-State'!BN:BN,'Non-State'!$C:$C,$G145))</f>
        <v>0</v>
      </c>
      <c r="P145" s="37">
        <f>IF(OR(F145="", F145="No Results"),  "", SUMIFS('Non-State'!CF:CF, 'Non-State'!C:C, $G145)+SUMIFS('Non-State'!CG:CG, 'Non-State'!C:C, $G145))</f>
        <v>0</v>
      </c>
      <c r="Q145" s="37">
        <f>IF(OR(G145="", G145="No Results"),  "", SUMIFS('Non-State'!CG:CG, 'Non-State'!C:C, $G145))</f>
        <v>0</v>
      </c>
    </row>
    <row r="146" spans="6:17" x14ac:dyDescent="0.25">
      <c r="F146" s="66">
        <f t="shared" si="5"/>
        <v>109</v>
      </c>
      <c r="G146" s="66" t="str">
        <f>IF(OR(F146="", F146="No Results"),  "", INDEX('Non-State'!C:C, MATCH($F146, 'Non-State'!B:B, 0)))</f>
        <v>175965601</v>
      </c>
      <c r="H146" s="66" t="str">
        <f>IF(OR(F146="", F146="No Results"), "", INDEX('Non-State'!E:E, MATCH($G146, 'Non-State'!$C:$C, 0)))</f>
        <v>1861598633</v>
      </c>
      <c r="I146" s="67" t="str">
        <f>IF(OR(G146="", G146="No Results"), "", INDEX('Non-State'!F:F, MATCH($G146, 'Non-State'!$C:$C, 0)))</f>
        <v>Kingwood Pines Hospital</v>
      </c>
      <c r="J146" s="37">
        <f>IF(G146="", "", SUMIFS('Non-State'!CH:CH, 'Non-State'!C:C, $G146))</f>
        <v>708511.61</v>
      </c>
      <c r="K146" s="37">
        <f>IF(G146="", "", SUMIFS('Non-State'!BG:BG, 'Non-State'!$C:$C, $G146))</f>
        <v>0</v>
      </c>
      <c r="L146" s="37">
        <f>IF(G146="", "",  SUMIFS('Non-State'!BL:BL, 'Non-State'!$C:$C, $G146)+SUMIFS('Non-State'!CA:CA, 'Non-State'!$C:$C, $G146))</f>
        <v>708511.61</v>
      </c>
      <c r="M146" s="37">
        <f>IF(G146="", "", SUMIFS('Non-State'!BD:BD, 'Non-State'!$C:$C, $G146))</f>
        <v>0</v>
      </c>
      <c r="N146" s="37">
        <f>IF(G146="", "", SUMIFS('Non-State'!BH:BH, 'Non-State'!$C:$C, $G146))</f>
        <v>0</v>
      </c>
      <c r="O146" s="37">
        <f>IF(G146="","",SUMIFS('Non-State'!BO:BO,'Non-State'!$C:$C,$G146)-SUMIFS('Non-State'!BN:BN,'Non-State'!$C:$C,$G146))</f>
        <v>0</v>
      </c>
      <c r="P146" s="37">
        <f>IF(OR(F146="", F146="No Results"),  "", SUMIFS('Non-State'!CF:CF, 'Non-State'!C:C, $G146)+SUMIFS('Non-State'!CG:CG, 'Non-State'!C:C, $G146))</f>
        <v>0</v>
      </c>
      <c r="Q146" s="37">
        <f>IF(OR(G146="", G146="No Results"),  "", SUMIFS('Non-State'!CG:CG, 'Non-State'!C:C, $G146))</f>
        <v>0</v>
      </c>
    </row>
    <row r="147" spans="6:17" x14ac:dyDescent="0.25">
      <c r="F147" s="66">
        <f t="shared" si="5"/>
        <v>110</v>
      </c>
      <c r="G147" s="66" t="str">
        <f>IF(OR(F147="", F147="No Results"),  "", INDEX('Non-State'!C:C, MATCH($F147, 'Non-State'!B:B, 0)))</f>
        <v>181706601</v>
      </c>
      <c r="H147" s="66" t="str">
        <f>IF(OR(F147="", F147="No Results"), "", INDEX('Non-State'!E:E, MATCH($G147, 'Non-State'!$C:$C, 0)))</f>
        <v>1154361475</v>
      </c>
      <c r="I147" s="67" t="str">
        <f>IF(OR(G147="", G147="No Results"), "", INDEX('Non-State'!F:F, MATCH($G147, 'Non-State'!$C:$C, 0)))</f>
        <v>St. Joseph Medical Center</v>
      </c>
      <c r="J147" s="37">
        <f>IF(G147="", "", SUMIFS('Non-State'!CH:CH, 'Non-State'!C:C, $G147))</f>
        <v>8000000</v>
      </c>
      <c r="K147" s="37">
        <f>IF(G147="", "", SUMIFS('Non-State'!BG:BG, 'Non-State'!$C:$C, $G147))</f>
        <v>0</v>
      </c>
      <c r="L147" s="37">
        <f>IF(G147="", "",  SUMIFS('Non-State'!BL:BL, 'Non-State'!$C:$C, $G147)+SUMIFS('Non-State'!CA:CA, 'Non-State'!$C:$C, $G147))</f>
        <v>8000000</v>
      </c>
      <c r="M147" s="37">
        <f>IF(G147="", "", SUMIFS('Non-State'!BD:BD, 'Non-State'!$C:$C, $G147))</f>
        <v>0</v>
      </c>
      <c r="N147" s="37">
        <f>IF(G147="", "", SUMIFS('Non-State'!BH:BH, 'Non-State'!$C:$C, $G147))</f>
        <v>0</v>
      </c>
      <c r="O147" s="37">
        <f>IF(G147="","",SUMIFS('Non-State'!BO:BO,'Non-State'!$C:$C,$G147)-SUMIFS('Non-State'!BN:BN,'Non-State'!$C:$C,$G147))</f>
        <v>0</v>
      </c>
      <c r="P147" s="37">
        <f>IF(OR(F147="", F147="No Results"),  "", SUMIFS('Non-State'!CF:CF, 'Non-State'!C:C, $G147)+SUMIFS('Non-State'!CG:CG, 'Non-State'!C:C, $G147))</f>
        <v>0</v>
      </c>
      <c r="Q147" s="37">
        <f>IF(OR(G147="", G147="No Results"),  "", SUMIFS('Non-State'!CG:CG, 'Non-State'!C:C, $G147))</f>
        <v>0</v>
      </c>
    </row>
    <row r="148" spans="6:17" x14ac:dyDescent="0.25">
      <c r="F148" s="66">
        <f t="shared" si="5"/>
        <v>111</v>
      </c>
      <c r="G148" s="66" t="str">
        <f>IF(OR(F148="", F148="No Results"),  "", INDEX('Non-State'!C:C, MATCH($F148, 'Non-State'!B:B, 0)))</f>
        <v>193867201</v>
      </c>
      <c r="H148" s="66" t="str">
        <f>IF(OR(F148="", F148="No Results"), "", INDEX('Non-State'!E:E, MATCH($G148, 'Non-State'!$C:$C, 0)))</f>
        <v>1740450121</v>
      </c>
      <c r="I148" s="67" t="str">
        <f>IF(OR(G148="", G148="No Results"), "", INDEX('Non-State'!F:F, MATCH($G148, 'Non-State'!$C:$C, 0)))</f>
        <v>HCA Houston Healthcare Northwest</v>
      </c>
      <c r="J148" s="37">
        <f>IF(G148="", "", SUMIFS('Non-State'!CH:CH, 'Non-State'!C:C, $G148))</f>
        <v>8000000</v>
      </c>
      <c r="K148" s="37">
        <f>IF(G148="", "", SUMIFS('Non-State'!BG:BG, 'Non-State'!$C:$C, $G148))</f>
        <v>0</v>
      </c>
      <c r="L148" s="37">
        <f>IF(G148="", "",  SUMIFS('Non-State'!BL:BL, 'Non-State'!$C:$C, $G148)+SUMIFS('Non-State'!CA:CA, 'Non-State'!$C:$C, $G148))</f>
        <v>8000000</v>
      </c>
      <c r="M148" s="37">
        <f>IF(G148="", "", SUMIFS('Non-State'!BD:BD, 'Non-State'!$C:$C, $G148))</f>
        <v>0</v>
      </c>
      <c r="N148" s="37">
        <f>IF(G148="", "", SUMIFS('Non-State'!BH:BH, 'Non-State'!$C:$C, $G148))</f>
        <v>0</v>
      </c>
      <c r="O148" s="37">
        <f>IF(G148="","",SUMIFS('Non-State'!BO:BO,'Non-State'!$C:$C,$G148)-SUMIFS('Non-State'!BN:BN,'Non-State'!$C:$C,$G148))</f>
        <v>0</v>
      </c>
      <c r="P148" s="37">
        <f>IF(OR(F148="", F148="No Results"),  "", SUMIFS('Non-State'!CF:CF, 'Non-State'!C:C, $G148)+SUMIFS('Non-State'!CG:CG, 'Non-State'!C:C, $G148))</f>
        <v>0</v>
      </c>
      <c r="Q148" s="37">
        <f>IF(OR(G148="", G148="No Results"),  "", SUMIFS('Non-State'!CG:CG, 'Non-State'!C:C, $G148))</f>
        <v>0</v>
      </c>
    </row>
    <row r="149" spans="6:17" x14ac:dyDescent="0.25">
      <c r="F149" s="66">
        <f t="shared" si="5"/>
        <v>112</v>
      </c>
      <c r="G149" s="66" t="str">
        <f>IF(OR(F149="", F149="No Results"),  "", INDEX('Non-State'!C:C, MATCH($F149, 'Non-State'!B:B, 0)))</f>
        <v>194997601</v>
      </c>
      <c r="H149" s="66" t="str">
        <f>IF(OR(F149="", F149="No Results"), "", INDEX('Non-State'!E:E, MATCH($G149, 'Non-State'!$C:$C, 0)))</f>
        <v>1851390967</v>
      </c>
      <c r="I149" s="67" t="str">
        <f>IF(OR(G149="", G149="No Results"), "", INDEX('Non-State'!F:F, MATCH($G149, 'Non-State'!$C:$C, 0)))</f>
        <v>Texoma Medical Center</v>
      </c>
      <c r="J149" s="37">
        <f>IF(G149="", "", SUMIFS('Non-State'!CH:CH, 'Non-State'!C:C, $G149))</f>
        <v>9879265.8300000001</v>
      </c>
      <c r="K149" s="37">
        <f>IF(G149="", "", SUMIFS('Non-State'!BG:BG, 'Non-State'!$C:$C, $G149))</f>
        <v>0</v>
      </c>
      <c r="L149" s="37">
        <f>IF(G149="", "",  SUMIFS('Non-State'!BL:BL, 'Non-State'!$C:$C, $G149)+SUMIFS('Non-State'!CA:CA, 'Non-State'!$C:$C, $G149))</f>
        <v>9879265.8300000001</v>
      </c>
      <c r="M149" s="37">
        <f>IF(G149="", "", SUMIFS('Non-State'!BD:BD, 'Non-State'!$C:$C, $G149))</f>
        <v>0</v>
      </c>
      <c r="N149" s="37">
        <f>IF(G149="", "", SUMIFS('Non-State'!BH:BH, 'Non-State'!$C:$C, $G149))</f>
        <v>0</v>
      </c>
      <c r="O149" s="37">
        <f>IF(G149="","",SUMIFS('Non-State'!BO:BO,'Non-State'!$C:$C,$G149)-SUMIFS('Non-State'!BN:BN,'Non-State'!$C:$C,$G149))</f>
        <v>0</v>
      </c>
      <c r="P149" s="37">
        <f>IF(OR(F149="", F149="No Results"),  "", SUMIFS('Non-State'!CF:CF, 'Non-State'!C:C, $G149)+SUMIFS('Non-State'!CG:CG, 'Non-State'!C:C, $G149))</f>
        <v>0</v>
      </c>
      <c r="Q149" s="37">
        <f>IF(OR(G149="", G149="No Results"),  "", SUMIFS('Non-State'!CG:CG, 'Non-State'!C:C, $G149))</f>
        <v>0</v>
      </c>
    </row>
    <row r="150" spans="6:17" x14ac:dyDescent="0.25">
      <c r="F150" s="66">
        <f t="shared" si="5"/>
        <v>113</v>
      </c>
      <c r="G150" s="66" t="str">
        <f>IF(OR(F150="", F150="No Results"),  "", INDEX('Non-State'!C:C, MATCH($F150, 'Non-State'!B:B, 0)))</f>
        <v>197063401</v>
      </c>
      <c r="H150" s="66" t="str">
        <f>IF(OR(F150="", F150="No Results"), "", INDEX('Non-State'!E:E, MATCH($G150, 'Non-State'!$C:$C, 0)))</f>
        <v>1841497153</v>
      </c>
      <c r="I150" s="67" t="str">
        <f>IF(OR(G150="", G150="No Results"), "", INDEX('Non-State'!F:F, MATCH($G150, 'Non-State'!$C:$C, 0)))</f>
        <v>Golden Plains Community Hospital</v>
      </c>
      <c r="J150" s="37">
        <f>IF(G150="", "", SUMIFS('Non-State'!CH:CH, 'Non-State'!C:C, $G150))</f>
        <v>2290666.2399999998</v>
      </c>
      <c r="K150" s="37">
        <f>IF(G150="", "", SUMIFS('Non-State'!BG:BG, 'Non-State'!$C:$C, $G150))</f>
        <v>0</v>
      </c>
      <c r="L150" s="37">
        <f>IF(G150="", "",  SUMIFS('Non-State'!BL:BL, 'Non-State'!$C:$C, $G150)+SUMIFS('Non-State'!CA:CA, 'Non-State'!$C:$C, $G150))</f>
        <v>1816533.15</v>
      </c>
      <c r="M150" s="37">
        <f>IF(G150="", "", SUMIFS('Non-State'!BD:BD, 'Non-State'!$C:$C, $G150))</f>
        <v>0</v>
      </c>
      <c r="N150" s="37">
        <f>IF(G150="", "", SUMIFS('Non-State'!BH:BH, 'Non-State'!$C:$C, $G150))</f>
        <v>0</v>
      </c>
      <c r="O150" s="37">
        <f>IF(G150="","",SUMIFS('Non-State'!BO:BO,'Non-State'!$C:$C,$G150)-SUMIFS('Non-State'!BN:BN,'Non-State'!$C:$C,$G150))</f>
        <v>0</v>
      </c>
      <c r="P150" s="37">
        <f>IF(OR(F150="", F150="No Results"),  "", SUMIFS('Non-State'!CF:CF, 'Non-State'!C:C, $G150)+SUMIFS('Non-State'!CG:CG, 'Non-State'!C:C, $G150))</f>
        <v>474133.09</v>
      </c>
      <c r="Q150" s="37">
        <f>IF(OR(G150="", G150="No Results"),  "", SUMIFS('Non-State'!CG:CG, 'Non-State'!C:C, $G150))</f>
        <v>0</v>
      </c>
    </row>
    <row r="151" spans="6:17" x14ac:dyDescent="0.25">
      <c r="F151" s="66">
        <f t="shared" si="5"/>
        <v>114</v>
      </c>
      <c r="G151" s="66" t="str">
        <f>IF(OR(F151="", F151="No Results"),  "", INDEX('Non-State'!C:C, MATCH($F151, 'Non-State'!B:B, 0)))</f>
        <v>207311601</v>
      </c>
      <c r="H151" s="66" t="str">
        <f>IF(OR(F151="", F151="No Results"), "", INDEX('Non-State'!E:E, MATCH($G151, 'Non-State'!$C:$C, 0)))</f>
        <v>1114903523</v>
      </c>
      <c r="I151" s="67" t="str">
        <f>IF(OR(G151="", G151="No Results"), "", INDEX('Non-State'!F:F, MATCH($G151, 'Non-State'!$C:$C, 0)))</f>
        <v>Wadley Regional Medical Center</v>
      </c>
      <c r="J151" s="37">
        <f>IF(G151="", "", SUMIFS('Non-State'!CH:CH, 'Non-State'!C:C, $G151))</f>
        <v>8000000</v>
      </c>
      <c r="K151" s="37">
        <f>IF(G151="", "", SUMIFS('Non-State'!BG:BG, 'Non-State'!$C:$C, $G151))</f>
        <v>0</v>
      </c>
      <c r="L151" s="37">
        <f>IF(G151="", "",  SUMIFS('Non-State'!BL:BL, 'Non-State'!$C:$C, $G151)+SUMIFS('Non-State'!CA:CA, 'Non-State'!$C:$C, $G151))</f>
        <v>8000000</v>
      </c>
      <c r="M151" s="37">
        <f>IF(G151="", "", SUMIFS('Non-State'!BD:BD, 'Non-State'!$C:$C, $G151))</f>
        <v>0</v>
      </c>
      <c r="N151" s="37">
        <f>IF(G151="", "", SUMIFS('Non-State'!BH:BH, 'Non-State'!$C:$C, $G151))</f>
        <v>0</v>
      </c>
      <c r="O151" s="37">
        <f>IF(G151="","",SUMIFS('Non-State'!BO:BO,'Non-State'!$C:$C,$G151)-SUMIFS('Non-State'!BN:BN,'Non-State'!$C:$C,$G151))</f>
        <v>0</v>
      </c>
      <c r="P151" s="37">
        <f>IF(OR(F151="", F151="No Results"),  "", SUMIFS('Non-State'!CF:CF, 'Non-State'!C:C, $G151)+SUMIFS('Non-State'!CG:CG, 'Non-State'!C:C, $G151))</f>
        <v>0</v>
      </c>
      <c r="Q151" s="37">
        <f>IF(OR(G151="", G151="No Results"),  "", SUMIFS('Non-State'!CG:CG, 'Non-State'!C:C, $G151))</f>
        <v>0</v>
      </c>
    </row>
    <row r="152" spans="6:17" x14ac:dyDescent="0.25">
      <c r="F152" s="66">
        <f t="shared" si="5"/>
        <v>115</v>
      </c>
      <c r="G152" s="66" t="str">
        <f>IF(OR(F152="", F152="No Results"),  "", INDEX('Non-State'!C:C, MATCH($F152, 'Non-State'!B:B, 0)))</f>
        <v>208013701</v>
      </c>
      <c r="H152" s="66" t="str">
        <f>IF(OR(F152="", F152="No Results"), "", INDEX('Non-State'!E:E, MATCH($G152, 'Non-State'!$C:$C, 0)))</f>
        <v>1619115383</v>
      </c>
      <c r="I152" s="67" t="str">
        <f>IF(OR(G152="", G152="No Results"), "", INDEX('Non-State'!F:F, MATCH($G152, 'Non-State'!$C:$C, 0)))</f>
        <v>Ascension Seton Hays</v>
      </c>
      <c r="J152" s="37">
        <f>IF(G152="", "", SUMIFS('Non-State'!CH:CH, 'Non-State'!C:C, $G152))</f>
        <v>6000000</v>
      </c>
      <c r="K152" s="37">
        <f>IF(G152="", "", SUMIFS('Non-State'!BG:BG, 'Non-State'!$C:$C, $G152))</f>
        <v>0</v>
      </c>
      <c r="L152" s="37">
        <f>IF(G152="", "",  SUMIFS('Non-State'!BL:BL, 'Non-State'!$C:$C, $G152)+SUMIFS('Non-State'!CA:CA, 'Non-State'!$C:$C, $G152))</f>
        <v>6000000</v>
      </c>
      <c r="M152" s="37">
        <f>IF(G152="", "", SUMIFS('Non-State'!BD:BD, 'Non-State'!$C:$C, $G152))</f>
        <v>0</v>
      </c>
      <c r="N152" s="37">
        <f>IF(G152="", "", SUMIFS('Non-State'!BH:BH, 'Non-State'!$C:$C, $G152))</f>
        <v>0</v>
      </c>
      <c r="O152" s="37">
        <f>IF(G152="","",SUMIFS('Non-State'!BO:BO,'Non-State'!$C:$C,$G152)-SUMIFS('Non-State'!BN:BN,'Non-State'!$C:$C,$G152))</f>
        <v>0</v>
      </c>
      <c r="P152" s="37">
        <f>IF(OR(F152="", F152="No Results"),  "", SUMIFS('Non-State'!CF:CF, 'Non-State'!C:C, $G152)+SUMIFS('Non-State'!CG:CG, 'Non-State'!C:C, $G152))</f>
        <v>0</v>
      </c>
      <c r="Q152" s="37">
        <f>IF(OR(G152="", G152="No Results"),  "", SUMIFS('Non-State'!CG:CG, 'Non-State'!C:C, $G152))</f>
        <v>0</v>
      </c>
    </row>
    <row r="153" spans="6:17" x14ac:dyDescent="0.25">
      <c r="F153" s="66">
        <f t="shared" si="5"/>
        <v>116</v>
      </c>
      <c r="G153" s="66" t="str">
        <f>IF(OR(F153="", F153="No Results"),  "", INDEX('Non-State'!C:C, MATCH($F153, 'Non-State'!B:B, 0)))</f>
        <v>212060201</v>
      </c>
      <c r="H153" s="66" t="str">
        <f>IF(OR(F153="", F153="No Results"), "", INDEX('Non-State'!E:E, MATCH($G153, 'Non-State'!$C:$C, 0)))</f>
        <v>1205164928</v>
      </c>
      <c r="I153" s="67" t="str">
        <f>IF(OR(G153="", G153="No Results"), "", INDEX('Non-State'!F:F, MATCH($G153, 'Non-State'!$C:$C, 0)))</f>
        <v>Rice Medical Center</v>
      </c>
      <c r="J153" s="37">
        <f>IF(G153="", "", SUMIFS('Non-State'!CH:CH, 'Non-State'!C:C, $G153))</f>
        <v>1696310.39</v>
      </c>
      <c r="K153" s="37">
        <f>IF(G153="", "", SUMIFS('Non-State'!BG:BG, 'Non-State'!$C:$C, $G153))</f>
        <v>0</v>
      </c>
      <c r="L153" s="37">
        <f>IF(G153="", "",  SUMIFS('Non-State'!BL:BL, 'Non-State'!$C:$C, $G153)+SUMIFS('Non-State'!CA:CA, 'Non-State'!$C:$C, $G153))</f>
        <v>1345199.93</v>
      </c>
      <c r="M153" s="37">
        <f>IF(G153="", "", SUMIFS('Non-State'!BD:BD, 'Non-State'!$C:$C, $G153))</f>
        <v>0</v>
      </c>
      <c r="N153" s="37">
        <f>IF(G153="", "", SUMIFS('Non-State'!BH:BH, 'Non-State'!$C:$C, $G153))</f>
        <v>0</v>
      </c>
      <c r="O153" s="37">
        <f>IF(G153="","",SUMIFS('Non-State'!BO:BO,'Non-State'!$C:$C,$G153)-SUMIFS('Non-State'!BN:BN,'Non-State'!$C:$C,$G153))</f>
        <v>0</v>
      </c>
      <c r="P153" s="37">
        <f>IF(OR(F153="", F153="No Results"),  "", SUMIFS('Non-State'!CF:CF, 'Non-State'!C:C, $G153)+SUMIFS('Non-State'!CG:CG, 'Non-State'!C:C, $G153))</f>
        <v>351110.46</v>
      </c>
      <c r="Q153" s="37">
        <f>IF(OR(G153="", G153="No Results"),  "", SUMIFS('Non-State'!CG:CG, 'Non-State'!C:C, $G153))</f>
        <v>0</v>
      </c>
    </row>
    <row r="154" spans="6:17" x14ac:dyDescent="0.25">
      <c r="F154" s="66">
        <f t="shared" si="5"/>
        <v>117</v>
      </c>
      <c r="G154" s="66" t="str">
        <f>IF(OR(F154="", F154="No Results"),  "", INDEX('Non-State'!C:C, MATCH($F154, 'Non-State'!B:B, 0)))</f>
        <v>217884004</v>
      </c>
      <c r="H154" s="66" t="str">
        <f>IF(OR(F154="", F154="No Results"), "", INDEX('Non-State'!E:E, MATCH($G154, 'Non-State'!$C:$C, 0)))</f>
        <v>1326134255</v>
      </c>
      <c r="I154" s="67" t="str">
        <f>IF(OR(G154="", G154="No Results"), "", INDEX('Non-State'!F:F, MATCH($G154, 'Non-State'!$C:$C, 0)))</f>
        <v>Dimmit Regional Hospital</v>
      </c>
      <c r="J154" s="37">
        <f>IF(G154="", "", SUMIFS('Non-State'!CH:CH, 'Non-State'!C:C, $G154))</f>
        <v>3528848.73</v>
      </c>
      <c r="K154" s="37">
        <f>IF(G154="", "", SUMIFS('Non-State'!BG:BG, 'Non-State'!$C:$C, $G154))</f>
        <v>0</v>
      </c>
      <c r="L154" s="37">
        <f>IF(G154="", "",  SUMIFS('Non-State'!BL:BL, 'Non-State'!$C:$C, $G154)+SUMIFS('Non-State'!CA:CA, 'Non-State'!$C:$C, $G154))</f>
        <v>3528848.73</v>
      </c>
      <c r="M154" s="37">
        <f>IF(G154="", "", SUMIFS('Non-State'!BD:BD, 'Non-State'!$C:$C, $G154))</f>
        <v>1239684.5603849706</v>
      </c>
      <c r="N154" s="37">
        <f>IF(G154="", "", SUMIFS('Non-State'!BH:BH, 'Non-State'!$C:$C, $G154))</f>
        <v>0</v>
      </c>
      <c r="O154" s="37">
        <f>IF(G154="","",SUMIFS('Non-State'!BO:BO,'Non-State'!$C:$C,$G154)-SUMIFS('Non-State'!BN:BN,'Non-State'!$C:$C,$G154))</f>
        <v>1239684.56</v>
      </c>
      <c r="P154" s="37">
        <f>IF(OR(F154="", F154="No Results"),  "", SUMIFS('Non-State'!CF:CF, 'Non-State'!C:C, $G154)+SUMIFS('Non-State'!CG:CG, 'Non-State'!C:C, $G154))</f>
        <v>0</v>
      </c>
      <c r="Q154" s="37">
        <f>IF(OR(G154="", G154="No Results"),  "", SUMIFS('Non-State'!CG:CG, 'Non-State'!C:C, $G154))</f>
        <v>0</v>
      </c>
    </row>
    <row r="155" spans="6:17" x14ac:dyDescent="0.25">
      <c r="F155" s="66">
        <f t="shared" si="5"/>
        <v>118</v>
      </c>
      <c r="G155" s="66" t="str">
        <f>IF(OR(F155="", F155="No Results"),  "", INDEX('Non-State'!C:C, MATCH($F155, 'Non-State'!B:B, 0)))</f>
        <v>292096901</v>
      </c>
      <c r="H155" s="66" t="str">
        <f>IF(OR(F155="", F155="No Results"), "", INDEX('Non-State'!E:E, MATCH($G155, 'Non-State'!$C:$C, 0)))</f>
        <v>1154618742</v>
      </c>
      <c r="I155" s="67" t="str">
        <f>IF(OR(G155="", G155="No Results"), "", INDEX('Non-State'!F:F, MATCH($G155, 'Non-State'!$C:$C, 0)))</f>
        <v>Valley Baptist Medical Center Harlingen</v>
      </c>
      <c r="J155" s="37">
        <f>IF(G155="", "", SUMIFS('Non-State'!CH:CH, 'Non-State'!C:C, $G155))</f>
        <v>1444658.09</v>
      </c>
      <c r="K155" s="37">
        <f>IF(G155="", "", SUMIFS('Non-State'!BG:BG, 'Non-State'!$C:$C, $G155))</f>
        <v>0</v>
      </c>
      <c r="L155" s="37">
        <f>IF(G155="", "",  SUMIFS('Non-State'!BL:BL, 'Non-State'!$C:$C, $G155)+SUMIFS('Non-State'!CA:CA, 'Non-State'!$C:$C, $G155))</f>
        <v>1444658.09</v>
      </c>
      <c r="M155" s="37">
        <f>IF(G155="", "", SUMIFS('Non-State'!BD:BD, 'Non-State'!$C:$C, $G155))</f>
        <v>0</v>
      </c>
      <c r="N155" s="37">
        <f>IF(G155="", "", SUMIFS('Non-State'!BH:BH, 'Non-State'!$C:$C, $G155))</f>
        <v>0</v>
      </c>
      <c r="O155" s="37">
        <f>IF(G155="","",SUMIFS('Non-State'!BO:BO,'Non-State'!$C:$C,$G155)-SUMIFS('Non-State'!BN:BN,'Non-State'!$C:$C,$G155))</f>
        <v>0</v>
      </c>
      <c r="P155" s="37">
        <f>IF(OR(F155="", F155="No Results"),  "", SUMIFS('Non-State'!CF:CF, 'Non-State'!C:C, $G155)+SUMIFS('Non-State'!CG:CG, 'Non-State'!C:C, $G155))</f>
        <v>0</v>
      </c>
      <c r="Q155" s="37">
        <f>IF(OR(G155="", G155="No Results"),  "", SUMIFS('Non-State'!CG:CG, 'Non-State'!C:C, $G155))</f>
        <v>0</v>
      </c>
    </row>
    <row r="156" spans="6:17" x14ac:dyDescent="0.25">
      <c r="F156" s="66">
        <f t="shared" si="5"/>
        <v>119</v>
      </c>
      <c r="G156" s="66" t="str">
        <f>IF(OR(F156="", F156="No Results"),  "", INDEX('Non-State'!C:C, MATCH($F156, 'Non-State'!B:B, 0)))</f>
        <v>294543801</v>
      </c>
      <c r="H156" s="66" t="str">
        <f>IF(OR(F156="", F156="No Results"), "", INDEX('Non-State'!E:E, MATCH($G156, 'Non-State'!$C:$C, 0)))</f>
        <v>1184911877</v>
      </c>
      <c r="I156" s="67" t="str">
        <f>IF(OR(G156="", G156="No Results"), "", INDEX('Non-State'!F:F, MATCH($G156, 'Non-State'!$C:$C, 0)))</f>
        <v>Valley Baptist Medical Center Brownsville</v>
      </c>
      <c r="J156" s="37">
        <f>IF(G156="", "", SUMIFS('Non-State'!CH:CH, 'Non-State'!C:C, $G156))</f>
        <v>608772.66</v>
      </c>
      <c r="K156" s="37">
        <f>IF(G156="", "", SUMIFS('Non-State'!BG:BG, 'Non-State'!$C:$C, $G156))</f>
        <v>0</v>
      </c>
      <c r="L156" s="37">
        <f>IF(G156="", "",  SUMIFS('Non-State'!BL:BL, 'Non-State'!$C:$C, $G156)+SUMIFS('Non-State'!CA:CA, 'Non-State'!$C:$C, $G156))</f>
        <v>608772.66</v>
      </c>
      <c r="M156" s="37">
        <f>IF(G156="", "", SUMIFS('Non-State'!BD:BD, 'Non-State'!$C:$C, $G156))</f>
        <v>0</v>
      </c>
      <c r="N156" s="37">
        <f>IF(G156="", "", SUMIFS('Non-State'!BH:BH, 'Non-State'!$C:$C, $G156))</f>
        <v>0</v>
      </c>
      <c r="O156" s="37">
        <f>IF(G156="","",SUMIFS('Non-State'!BO:BO,'Non-State'!$C:$C,$G156)-SUMIFS('Non-State'!BN:BN,'Non-State'!$C:$C,$G156))</f>
        <v>0</v>
      </c>
      <c r="P156" s="37">
        <f>IF(OR(F156="", F156="No Results"),  "", SUMIFS('Non-State'!CF:CF, 'Non-State'!C:C, $G156)+SUMIFS('Non-State'!CG:CG, 'Non-State'!C:C, $G156))</f>
        <v>0</v>
      </c>
      <c r="Q156" s="37">
        <f>IF(OR(G156="", G156="No Results"),  "", SUMIFS('Non-State'!CG:CG, 'Non-State'!C:C, $G156))</f>
        <v>0</v>
      </c>
    </row>
    <row r="157" spans="6:17" x14ac:dyDescent="0.25">
      <c r="F157" s="66">
        <f t="shared" si="5"/>
        <v>120</v>
      </c>
      <c r="G157" s="66" t="str">
        <f>IF(OR(F157="", F157="No Results"),  "", INDEX('Non-State'!C:C, MATCH($F157, 'Non-State'!B:B, 0)))</f>
        <v>308032701</v>
      </c>
      <c r="H157" s="66" t="str">
        <f>IF(OR(F157="", F157="No Results"), "", INDEX('Non-State'!E:E, MATCH($G157, 'Non-State'!$C:$C, 0)))</f>
        <v>1386902138</v>
      </c>
      <c r="I157" s="67" t="str">
        <f>IF(OR(G157="", G157="No Results"), "", INDEX('Non-State'!F:F, MATCH($G157, 'Non-State'!$C:$C, 0)))</f>
        <v>Pampa Regional Medical Center</v>
      </c>
      <c r="J157" s="37">
        <f>IF(G157="", "", SUMIFS('Non-State'!CH:CH, 'Non-State'!C:C, $G157))</f>
        <v>1340870.03</v>
      </c>
      <c r="K157" s="37">
        <f>IF(G157="", "", SUMIFS('Non-State'!BG:BG, 'Non-State'!$C:$C, $G157))</f>
        <v>0</v>
      </c>
      <c r="L157" s="37">
        <f>IF(G157="", "",  SUMIFS('Non-State'!BL:BL, 'Non-State'!$C:$C, $G157)+SUMIFS('Non-State'!CA:CA, 'Non-State'!$C:$C, $G157))</f>
        <v>1063330.32</v>
      </c>
      <c r="M157" s="37">
        <f>IF(G157="", "", SUMIFS('Non-State'!BD:BD, 'Non-State'!$C:$C, $G157))</f>
        <v>0</v>
      </c>
      <c r="N157" s="37">
        <f>IF(G157="", "", SUMIFS('Non-State'!BH:BH, 'Non-State'!$C:$C, $G157))</f>
        <v>0</v>
      </c>
      <c r="O157" s="37">
        <f>IF(G157="","",SUMIFS('Non-State'!BO:BO,'Non-State'!$C:$C,$G157)-SUMIFS('Non-State'!BN:BN,'Non-State'!$C:$C,$G157))</f>
        <v>0</v>
      </c>
      <c r="P157" s="37">
        <f>IF(OR(F157="", F157="No Results"),  "", SUMIFS('Non-State'!CF:CF, 'Non-State'!C:C, $G157)+SUMIFS('Non-State'!CG:CG, 'Non-State'!C:C, $G157))</f>
        <v>277539.71000000002</v>
      </c>
      <c r="Q157" s="37">
        <f>IF(OR(G157="", G157="No Results"),  "", SUMIFS('Non-State'!CG:CG, 'Non-State'!C:C, $G157))</f>
        <v>0</v>
      </c>
    </row>
    <row r="158" spans="6:17" x14ac:dyDescent="0.25">
      <c r="F158" s="66">
        <f t="shared" si="5"/>
        <v>121</v>
      </c>
      <c r="G158" s="66" t="str">
        <f>IF(OR(F158="", F158="No Results"),  "", INDEX('Non-State'!C:C, MATCH($F158, 'Non-State'!B:B, 0)))</f>
        <v>314080801</v>
      </c>
      <c r="H158" s="66" t="str">
        <f>IF(OR(F158="", F158="No Results"), "", INDEX('Non-State'!E:E, MATCH($G158, 'Non-State'!$C:$C, 0)))</f>
        <v>1033120423</v>
      </c>
      <c r="I158" s="67" t="str">
        <f>IF(OR(G158="", G158="No Results"), "", INDEX('Non-State'!F:F, MATCH($G158, 'Non-State'!$C:$C, 0)))</f>
        <v>Texas Health Huguley Hosptial Fort Worth South</v>
      </c>
      <c r="J158" s="37">
        <f>IF(G158="", "", SUMIFS('Non-State'!CH:CH, 'Non-State'!C:C, $G158))</f>
        <v>6000000</v>
      </c>
      <c r="K158" s="37">
        <f>IF(G158="", "", SUMIFS('Non-State'!BG:BG, 'Non-State'!$C:$C, $G158))</f>
        <v>0</v>
      </c>
      <c r="L158" s="37">
        <f>IF(G158="", "",  SUMIFS('Non-State'!BL:BL, 'Non-State'!$C:$C, $G158)+SUMIFS('Non-State'!CA:CA, 'Non-State'!$C:$C, $G158))</f>
        <v>6000000</v>
      </c>
      <c r="M158" s="37">
        <f>IF(G158="", "", SUMIFS('Non-State'!BD:BD, 'Non-State'!$C:$C, $G158))</f>
        <v>0</v>
      </c>
      <c r="N158" s="37">
        <f>IF(G158="", "", SUMIFS('Non-State'!BH:BH, 'Non-State'!$C:$C, $G158))</f>
        <v>0</v>
      </c>
      <c r="O158" s="37">
        <f>IF(G158="","",SUMIFS('Non-State'!BO:BO,'Non-State'!$C:$C,$G158)-SUMIFS('Non-State'!BN:BN,'Non-State'!$C:$C,$G158))</f>
        <v>0</v>
      </c>
      <c r="P158" s="37">
        <f>IF(OR(F158="", F158="No Results"),  "", SUMIFS('Non-State'!CF:CF, 'Non-State'!C:C, $G158)+SUMIFS('Non-State'!CG:CG, 'Non-State'!C:C, $G158))</f>
        <v>0</v>
      </c>
      <c r="Q158" s="37">
        <f>IF(OR(G158="", G158="No Results"),  "", SUMIFS('Non-State'!CG:CG, 'Non-State'!C:C, $G158))</f>
        <v>0</v>
      </c>
    </row>
    <row r="159" spans="6:17" x14ac:dyDescent="0.25">
      <c r="F159" s="66">
        <f t="shared" si="5"/>
        <v>122</v>
      </c>
      <c r="G159" s="66" t="str">
        <f>IF(OR(F159="", F159="No Results"),  "", INDEX('Non-State'!C:C, MATCH($F159, 'Non-State'!B:B, 0)))</f>
        <v>315440301</v>
      </c>
      <c r="H159" s="66" t="str">
        <f>IF(OR(F159="", F159="No Results"), "", INDEX('Non-State'!E:E, MATCH($G159, 'Non-State'!$C:$C, 0)))</f>
        <v>1760628184</v>
      </c>
      <c r="I159" s="67" t="str">
        <f>IF(OR(G159="", G159="No Results"), "", INDEX('Non-State'!F:F, MATCH($G159, 'Non-State'!$C:$C, 0)))</f>
        <v>NA</v>
      </c>
      <c r="J159" s="37">
        <f>IF(G159="", "", SUMIFS('Non-State'!CH:CH, 'Non-State'!C:C, $G159))</f>
        <v>18033631.789999999</v>
      </c>
      <c r="K159" s="37">
        <f>IF(G159="", "", SUMIFS('Non-State'!BG:BG, 'Non-State'!$C:$C, $G159))</f>
        <v>0</v>
      </c>
      <c r="L159" s="37">
        <f>IF(G159="", "",  SUMIFS('Non-State'!BL:BL, 'Non-State'!$C:$C, $G159)+SUMIFS('Non-State'!CA:CA, 'Non-State'!$C:$C, $G159))</f>
        <v>18033631.789999999</v>
      </c>
      <c r="M159" s="37">
        <f>IF(G159="", "", SUMIFS('Non-State'!BD:BD, 'Non-State'!$C:$C, $G159))</f>
        <v>0</v>
      </c>
      <c r="N159" s="37">
        <f>IF(G159="", "", SUMIFS('Non-State'!BH:BH, 'Non-State'!$C:$C, $G159))</f>
        <v>0</v>
      </c>
      <c r="O159" s="37">
        <f>IF(G159="","",SUMIFS('Non-State'!BO:BO,'Non-State'!$C:$C,$G159)-SUMIFS('Non-State'!BN:BN,'Non-State'!$C:$C,$G159))</f>
        <v>0</v>
      </c>
      <c r="P159" s="37">
        <f>IF(OR(F159="", F159="No Results"),  "", SUMIFS('Non-State'!CF:CF, 'Non-State'!C:C, $G159)+SUMIFS('Non-State'!CG:CG, 'Non-State'!C:C, $G159))</f>
        <v>0</v>
      </c>
      <c r="Q159" s="37">
        <f>IF(OR(G159="", G159="No Results"),  "", SUMIFS('Non-State'!CG:CG, 'Non-State'!C:C, $G159))</f>
        <v>0</v>
      </c>
    </row>
    <row r="160" spans="6:17" x14ac:dyDescent="0.25">
      <c r="F160" s="66">
        <f t="shared" si="5"/>
        <v>123</v>
      </c>
      <c r="G160" s="66" t="str">
        <f>IF(OR(F160="", F160="No Results"),  "", INDEX('Non-State'!C:C, MATCH($F160, 'Non-State'!B:B, 0)))</f>
        <v>316360201</v>
      </c>
      <c r="H160" s="66" t="str">
        <f>IF(OR(F160="", F160="No Results"), "", INDEX('Non-State'!E:E, MATCH($G160, 'Non-State'!$C:$C, 0)))</f>
        <v>1407121189</v>
      </c>
      <c r="I160" s="67" t="str">
        <f>IF(OR(G160="", G160="No Results"), "", INDEX('Non-State'!F:F, MATCH($G160, 'Non-State'!$C:$C, 0)))</f>
        <v>Coleman County Medical Center</v>
      </c>
      <c r="J160" s="37">
        <f>IF(G160="", "", SUMIFS('Non-State'!CH:CH, 'Non-State'!C:C, $G160))</f>
        <v>988304.81</v>
      </c>
      <c r="K160" s="37">
        <f>IF(G160="", "", SUMIFS('Non-State'!BG:BG, 'Non-State'!$C:$C, $G160))</f>
        <v>0</v>
      </c>
      <c r="L160" s="37">
        <f>IF(G160="", "",  SUMIFS('Non-State'!BL:BL, 'Non-State'!$C:$C, $G160)+SUMIFS('Non-State'!CA:CA, 'Non-State'!$C:$C, $G160))</f>
        <v>783740.74</v>
      </c>
      <c r="M160" s="37">
        <f>IF(G160="", "", SUMIFS('Non-State'!BD:BD, 'Non-State'!$C:$C, $G160))</f>
        <v>0</v>
      </c>
      <c r="N160" s="37">
        <f>IF(G160="", "", SUMIFS('Non-State'!BH:BH, 'Non-State'!$C:$C, $G160))</f>
        <v>0</v>
      </c>
      <c r="O160" s="37">
        <f>IF(G160="","",SUMIFS('Non-State'!BO:BO,'Non-State'!$C:$C,$G160)-SUMIFS('Non-State'!BN:BN,'Non-State'!$C:$C,$G160))</f>
        <v>0</v>
      </c>
      <c r="P160" s="37">
        <f>IF(OR(F160="", F160="No Results"),  "", SUMIFS('Non-State'!CF:CF, 'Non-State'!C:C, $G160)+SUMIFS('Non-State'!CG:CG, 'Non-State'!C:C, $G160))</f>
        <v>204564.07</v>
      </c>
      <c r="Q160" s="37">
        <f>IF(OR(G160="", G160="No Results"),  "", SUMIFS('Non-State'!CG:CG, 'Non-State'!C:C, $G160))</f>
        <v>0</v>
      </c>
    </row>
    <row r="161" spans="6:17" x14ac:dyDescent="0.25">
      <c r="F161" s="66">
        <f t="shared" si="5"/>
        <v>124</v>
      </c>
      <c r="G161" s="66" t="str">
        <f>IF(OR(F161="", F161="No Results"),  "", INDEX('Non-State'!C:C, MATCH($F161, 'Non-State'!B:B, 0)))</f>
        <v>322879301</v>
      </c>
      <c r="H161" s="66" t="str">
        <f>IF(OR(F161="", F161="No Results"), "", INDEX('Non-State'!E:E, MATCH($G161, 'Non-State'!$C:$C, 0)))</f>
        <v>1407191984</v>
      </c>
      <c r="I161" s="67" t="str">
        <f>IF(OR(G161="", G161="No Results"), "", INDEX('Non-State'!F:F, MATCH($G161, 'Non-State'!$C:$C, 0)))</f>
        <v>Baptist St. Anthony's Hospital</v>
      </c>
      <c r="J161" s="37">
        <f>IF(G161="", "", SUMIFS('Non-State'!CH:CH, 'Non-State'!C:C, $G161))</f>
        <v>9103787.0800000001</v>
      </c>
      <c r="K161" s="37">
        <f>IF(G161="", "", SUMIFS('Non-State'!BG:BG, 'Non-State'!$C:$C, $G161))</f>
        <v>0</v>
      </c>
      <c r="L161" s="37">
        <f>IF(G161="", "",  SUMIFS('Non-State'!BL:BL, 'Non-State'!$C:$C, $G161)+SUMIFS('Non-State'!CA:CA, 'Non-State'!$C:$C, $G161))</f>
        <v>9103787.0800000001</v>
      </c>
      <c r="M161" s="37">
        <f>IF(G161="", "", SUMIFS('Non-State'!BD:BD, 'Non-State'!$C:$C, $G161))</f>
        <v>0</v>
      </c>
      <c r="N161" s="37">
        <f>IF(G161="", "", SUMIFS('Non-State'!BH:BH, 'Non-State'!$C:$C, $G161))</f>
        <v>0</v>
      </c>
      <c r="O161" s="37">
        <f>IF(G161="","",SUMIFS('Non-State'!BO:BO,'Non-State'!$C:$C,$G161)-SUMIFS('Non-State'!BN:BN,'Non-State'!$C:$C,$G161))</f>
        <v>0</v>
      </c>
      <c r="P161" s="37">
        <f>IF(OR(F161="", F161="No Results"),  "", SUMIFS('Non-State'!CF:CF, 'Non-State'!C:C, $G161)+SUMIFS('Non-State'!CG:CG, 'Non-State'!C:C, $G161))</f>
        <v>0</v>
      </c>
      <c r="Q161" s="37">
        <f>IF(OR(G161="", G161="No Results"),  "", SUMIFS('Non-State'!CG:CG, 'Non-State'!C:C, $G161))</f>
        <v>0</v>
      </c>
    </row>
    <row r="162" spans="6:17" x14ac:dyDescent="0.25">
      <c r="F162" s="66">
        <f t="shared" si="5"/>
        <v>125</v>
      </c>
      <c r="G162" s="66" t="str">
        <f>IF(OR(F162="", F162="No Results"),  "", INDEX('Non-State'!C:C, MATCH($F162, 'Non-State'!B:B, 0)))</f>
        <v>326725404</v>
      </c>
      <c r="H162" s="66" t="str">
        <f>IF(OR(F162="", F162="No Results"), "", INDEX('Non-State'!E:E, MATCH($G162, 'Non-State'!$C:$C, 0)))</f>
        <v>1265772362</v>
      </c>
      <c r="I162" s="67" t="str">
        <f>IF(OR(G162="", G162="No Results"), "", INDEX('Non-State'!F:F, MATCH($G162, 'Non-State'!$C:$C, 0)))</f>
        <v>Scott &amp; White Hospital - College Station</v>
      </c>
      <c r="J162" s="37">
        <f>IF(G162="", "", SUMIFS('Non-State'!CH:CH, 'Non-State'!C:C, $G162))</f>
        <v>6000000</v>
      </c>
      <c r="K162" s="37">
        <f>IF(G162="", "", SUMIFS('Non-State'!BG:BG, 'Non-State'!$C:$C, $G162))</f>
        <v>0</v>
      </c>
      <c r="L162" s="37">
        <f>IF(G162="", "",  SUMIFS('Non-State'!BL:BL, 'Non-State'!$C:$C, $G162)+SUMIFS('Non-State'!CA:CA, 'Non-State'!$C:$C, $G162))</f>
        <v>6000000</v>
      </c>
      <c r="M162" s="37">
        <f>IF(G162="", "", SUMIFS('Non-State'!BD:BD, 'Non-State'!$C:$C, $G162))</f>
        <v>0</v>
      </c>
      <c r="N162" s="37">
        <f>IF(G162="", "", SUMIFS('Non-State'!BH:BH, 'Non-State'!$C:$C, $G162))</f>
        <v>0</v>
      </c>
      <c r="O162" s="37">
        <f>IF(G162="","",SUMIFS('Non-State'!BO:BO,'Non-State'!$C:$C,$G162)-SUMIFS('Non-State'!BN:BN,'Non-State'!$C:$C,$G162))</f>
        <v>0</v>
      </c>
      <c r="P162" s="37">
        <f>IF(OR(F162="", F162="No Results"),  "", SUMIFS('Non-State'!CF:CF, 'Non-State'!C:C, $G162)+SUMIFS('Non-State'!CG:CG, 'Non-State'!C:C, $G162))</f>
        <v>0</v>
      </c>
      <c r="Q162" s="37">
        <f>IF(OR(G162="", G162="No Results"),  "", SUMIFS('Non-State'!CG:CG, 'Non-State'!C:C, $G162))</f>
        <v>0</v>
      </c>
    </row>
    <row r="163" spans="6:17" x14ac:dyDescent="0.25">
      <c r="F163" s="66">
        <f t="shared" si="5"/>
        <v>126</v>
      </c>
      <c r="G163" s="66" t="str">
        <f>IF(OR(F163="", F163="No Results"),  "", INDEX('Non-State'!C:C, MATCH($F163, 'Non-State'!B:B, 0)))</f>
        <v>333289201</v>
      </c>
      <c r="H163" s="66" t="str">
        <f>IF(OR(F163="", F163="No Results"), "", INDEX('Non-State'!E:E, MATCH($G163, 'Non-State'!$C:$C, 0)))</f>
        <v>1457791105</v>
      </c>
      <c r="I163" s="67" t="str">
        <f>IF(OR(G163="", G163="No Results"), "", INDEX('Non-State'!F:F, MATCH($G163, 'Non-State'!$C:$C, 0)))</f>
        <v>Dallas Behavioral Healthcare Hospital, Llc</v>
      </c>
      <c r="J163" s="37">
        <f>IF(G163="", "", SUMIFS('Non-State'!CH:CH, 'Non-State'!C:C, $G163))</f>
        <v>1431483.95</v>
      </c>
      <c r="K163" s="37">
        <f>IF(G163="", "", SUMIFS('Non-State'!BG:BG, 'Non-State'!$C:$C, $G163))</f>
        <v>0</v>
      </c>
      <c r="L163" s="37">
        <f>IF(G163="", "",  SUMIFS('Non-State'!BL:BL, 'Non-State'!$C:$C, $G163)+SUMIFS('Non-State'!CA:CA, 'Non-State'!$C:$C, $G163))</f>
        <v>1431483.95</v>
      </c>
      <c r="M163" s="37">
        <f>IF(G163="", "", SUMIFS('Non-State'!BD:BD, 'Non-State'!$C:$C, $G163))</f>
        <v>0</v>
      </c>
      <c r="N163" s="37">
        <f>IF(G163="", "", SUMIFS('Non-State'!BH:BH, 'Non-State'!$C:$C, $G163))</f>
        <v>0</v>
      </c>
      <c r="O163" s="37">
        <f>IF(G163="","",SUMIFS('Non-State'!BO:BO,'Non-State'!$C:$C,$G163)-SUMIFS('Non-State'!BN:BN,'Non-State'!$C:$C,$G163))</f>
        <v>0</v>
      </c>
      <c r="P163" s="37">
        <f>IF(OR(F163="", F163="No Results"),  "", SUMIFS('Non-State'!CF:CF, 'Non-State'!C:C, $G163)+SUMIFS('Non-State'!CG:CG, 'Non-State'!C:C, $G163))</f>
        <v>0</v>
      </c>
      <c r="Q163" s="37">
        <f>IF(OR(G163="", G163="No Results"),  "", SUMIFS('Non-State'!CG:CG, 'Non-State'!C:C, $G163))</f>
        <v>0</v>
      </c>
    </row>
    <row r="164" spans="6:17" x14ac:dyDescent="0.25">
      <c r="F164" s="66">
        <f t="shared" si="5"/>
        <v>127</v>
      </c>
      <c r="G164" s="66" t="str">
        <f>IF(OR(F164="", F164="No Results"),  "", INDEX('Non-State'!C:C, MATCH($F164, 'Non-State'!B:B, 0)))</f>
        <v>333366801</v>
      </c>
      <c r="H164" s="66" t="str">
        <f>IF(OR(F164="", F164="No Results"), "", INDEX('Non-State'!E:E, MATCH($G164, 'Non-State'!$C:$C, 0)))</f>
        <v>1750620456</v>
      </c>
      <c r="I164" s="67" t="str">
        <f>IF(OR(G164="", G164="No Results"), "", INDEX('Non-State'!F:F, MATCH($G164, 'Non-State'!$C:$C, 0)))</f>
        <v>Oceans Behavioral Hospital Of Abilene, LLC</v>
      </c>
      <c r="J164" s="37">
        <f>IF(G164="", "", SUMIFS('Non-State'!CH:CH, 'Non-State'!C:C, $G164))</f>
        <v>1886337.16</v>
      </c>
      <c r="K164" s="37">
        <f>IF(G164="", "", SUMIFS('Non-State'!BG:BG, 'Non-State'!$C:$C, $G164))</f>
        <v>0</v>
      </c>
      <c r="L164" s="37">
        <f>IF(G164="", "",  SUMIFS('Non-State'!BL:BL, 'Non-State'!$C:$C, $G164)+SUMIFS('Non-State'!CA:CA, 'Non-State'!$C:$C, $G164))</f>
        <v>1886337.16</v>
      </c>
      <c r="M164" s="37">
        <f>IF(G164="", "", SUMIFS('Non-State'!BD:BD, 'Non-State'!$C:$C, $G164))</f>
        <v>0</v>
      </c>
      <c r="N164" s="37">
        <f>IF(G164="", "", SUMIFS('Non-State'!BH:BH, 'Non-State'!$C:$C, $G164))</f>
        <v>0</v>
      </c>
      <c r="O164" s="37">
        <f>IF(G164="","",SUMIFS('Non-State'!BO:BO,'Non-State'!$C:$C,$G164)-SUMIFS('Non-State'!BN:BN,'Non-State'!$C:$C,$G164))</f>
        <v>0</v>
      </c>
      <c r="P164" s="37">
        <f>IF(OR(F164="", F164="No Results"),  "", SUMIFS('Non-State'!CF:CF, 'Non-State'!C:C, $G164)+SUMIFS('Non-State'!CG:CG, 'Non-State'!C:C, $G164))</f>
        <v>0</v>
      </c>
      <c r="Q164" s="37">
        <f>IF(OR(G164="", G164="No Results"),  "", SUMIFS('Non-State'!CG:CG, 'Non-State'!C:C, $G164))</f>
        <v>0</v>
      </c>
    </row>
    <row r="165" spans="6:17" x14ac:dyDescent="0.25">
      <c r="F165" s="66">
        <f t="shared" si="5"/>
        <v>128</v>
      </c>
      <c r="G165" s="66" t="str">
        <f>IF(OR(F165="", F165="No Results"),  "", INDEX('Non-State'!C:C, MATCH($F165, 'Non-State'!B:B, 0)))</f>
        <v>336658501</v>
      </c>
      <c r="H165" s="66" t="str">
        <f>IF(OR(F165="", F165="No Results"), "", INDEX('Non-State'!E:E, MATCH($G165, 'Non-State'!$C:$C, 0)))</f>
        <v>1396184180</v>
      </c>
      <c r="I165" s="67" t="str">
        <f>IF(OR(G165="", G165="No Results"), "", INDEX('Non-State'!F:F, MATCH($G165, 'Non-State'!$C:$C, 0)))</f>
        <v>Oceans Behavioral Hospital Of The Permian Basin</v>
      </c>
      <c r="J165" s="37">
        <f>IF(G165="", "", SUMIFS('Non-State'!CH:CH, 'Non-State'!C:C, $G165))</f>
        <v>3246718.97</v>
      </c>
      <c r="K165" s="37">
        <f>IF(G165="", "", SUMIFS('Non-State'!BG:BG, 'Non-State'!$C:$C, $G165))</f>
        <v>0</v>
      </c>
      <c r="L165" s="37">
        <f>IF(G165="", "",  SUMIFS('Non-State'!BL:BL, 'Non-State'!$C:$C, $G165)+SUMIFS('Non-State'!CA:CA, 'Non-State'!$C:$C, $G165))</f>
        <v>3246718.97</v>
      </c>
      <c r="M165" s="37">
        <f>IF(G165="", "", SUMIFS('Non-State'!BD:BD, 'Non-State'!$C:$C, $G165))</f>
        <v>0</v>
      </c>
      <c r="N165" s="37">
        <f>IF(G165="", "", SUMIFS('Non-State'!BH:BH, 'Non-State'!$C:$C, $G165))</f>
        <v>0</v>
      </c>
      <c r="O165" s="37">
        <f>IF(G165="","",SUMIFS('Non-State'!BO:BO,'Non-State'!$C:$C,$G165)-SUMIFS('Non-State'!BN:BN,'Non-State'!$C:$C,$G165))</f>
        <v>0</v>
      </c>
      <c r="P165" s="37">
        <f>IF(OR(F165="", F165="No Results"),  "", SUMIFS('Non-State'!CF:CF, 'Non-State'!C:C, $G165)+SUMIFS('Non-State'!CG:CG, 'Non-State'!C:C, $G165))</f>
        <v>0</v>
      </c>
      <c r="Q165" s="37">
        <f>IF(OR(G165="", G165="No Results"),  "", SUMIFS('Non-State'!CG:CG, 'Non-State'!C:C, $G165))</f>
        <v>0</v>
      </c>
    </row>
    <row r="166" spans="6:17" x14ac:dyDescent="0.25">
      <c r="F166" s="66">
        <f t="shared" si="5"/>
        <v>129</v>
      </c>
      <c r="G166" s="66" t="str">
        <f>IF(OR(F166="", F166="No Results"),  "", INDEX('Non-State'!C:C, MATCH($F166, 'Non-State'!B:B, 0)))</f>
        <v>339487601</v>
      </c>
      <c r="H166" s="66" t="str">
        <f>IF(OR(F166="", F166="No Results"), "", INDEX('Non-State'!E:E, MATCH($G166, 'Non-State'!$C:$C, 0)))</f>
        <v>1366880627</v>
      </c>
      <c r="I166" s="67" t="str">
        <f>IF(OR(G166="", G166="No Results"), "", INDEX('Non-State'!F:F, MATCH($G166, 'Non-State'!$C:$C, 0)))</f>
        <v>Mesa Springs, LLC</v>
      </c>
      <c r="J166" s="37">
        <f>IF(G166="", "", SUMIFS('Non-State'!CH:CH, 'Non-State'!C:C, $G166))</f>
        <v>803250.02</v>
      </c>
      <c r="K166" s="37">
        <f>IF(G166="", "", SUMIFS('Non-State'!BG:BG, 'Non-State'!$C:$C, $G166))</f>
        <v>0</v>
      </c>
      <c r="L166" s="37">
        <f>IF(G166="", "",  SUMIFS('Non-State'!BL:BL, 'Non-State'!$C:$C, $G166)+SUMIFS('Non-State'!CA:CA, 'Non-State'!$C:$C, $G166))</f>
        <v>803250.02</v>
      </c>
      <c r="M166" s="37">
        <f>IF(G166="", "", SUMIFS('Non-State'!BD:BD, 'Non-State'!$C:$C, $G166))</f>
        <v>0</v>
      </c>
      <c r="N166" s="37">
        <f>IF(G166="", "", SUMIFS('Non-State'!BH:BH, 'Non-State'!$C:$C, $G166))</f>
        <v>0</v>
      </c>
      <c r="O166" s="37">
        <f>IF(G166="","",SUMIFS('Non-State'!BO:BO,'Non-State'!$C:$C,$G166)-SUMIFS('Non-State'!BN:BN,'Non-State'!$C:$C,$G166))</f>
        <v>0</v>
      </c>
      <c r="P166" s="37">
        <f>IF(OR(F166="", F166="No Results"),  "", SUMIFS('Non-State'!CF:CF, 'Non-State'!C:C, $G166)+SUMIFS('Non-State'!CG:CG, 'Non-State'!C:C, $G166))</f>
        <v>0</v>
      </c>
      <c r="Q166" s="37">
        <f>IF(OR(G166="", G166="No Results"),  "", SUMIFS('Non-State'!CG:CG, 'Non-State'!C:C, $G166))</f>
        <v>0</v>
      </c>
    </row>
    <row r="167" spans="6:17" x14ac:dyDescent="0.25">
      <c r="F167" s="66">
        <f t="shared" ref="F167:F217" si="6">IF(F166&lt;$I$35, F166+1, "")</f>
        <v>130</v>
      </c>
      <c r="G167" s="66" t="str">
        <f>IF(OR(F167="", F167="No Results"),  "", INDEX('Non-State'!C:C, MATCH($F167, 'Non-State'!B:B, 0)))</f>
        <v>344854001</v>
      </c>
      <c r="H167" s="66" t="str">
        <f>IF(OR(F167="", F167="No Results"), "", INDEX('Non-State'!E:E, MATCH($G167, 'Non-State'!$C:$C, 0)))</f>
        <v>1215354899</v>
      </c>
      <c r="I167" s="67" t="str">
        <f>IF(OR(G167="", G167="No Results"), "", INDEX('Non-State'!F:F, MATCH($G167, 'Non-State'!$C:$C, 0)))</f>
        <v>Westpark Springs, LLC</v>
      </c>
      <c r="J167" s="37">
        <f>IF(G167="", "", SUMIFS('Non-State'!CH:CH, 'Non-State'!C:C, $G167))</f>
        <v>1194534.82</v>
      </c>
      <c r="K167" s="37">
        <f>IF(G167="", "", SUMIFS('Non-State'!BG:BG, 'Non-State'!$C:$C, $G167))</f>
        <v>0</v>
      </c>
      <c r="L167" s="37">
        <f>IF(G167="", "",  SUMIFS('Non-State'!BL:BL, 'Non-State'!$C:$C, $G167)+SUMIFS('Non-State'!CA:CA, 'Non-State'!$C:$C, $G167))</f>
        <v>1194534.82</v>
      </c>
      <c r="M167" s="37">
        <f>IF(G167="", "", SUMIFS('Non-State'!BD:BD, 'Non-State'!$C:$C, $G167))</f>
        <v>0</v>
      </c>
      <c r="N167" s="37">
        <f>IF(G167="", "", SUMIFS('Non-State'!BH:BH, 'Non-State'!$C:$C, $G167))</f>
        <v>0</v>
      </c>
      <c r="O167" s="37">
        <f>IF(G167="","",SUMIFS('Non-State'!BO:BO,'Non-State'!$C:$C,$G167)-SUMIFS('Non-State'!BN:BN,'Non-State'!$C:$C,$G167))</f>
        <v>0</v>
      </c>
      <c r="P167" s="37">
        <f>IF(OR(F167="", F167="No Results"),  "", SUMIFS('Non-State'!CF:CF, 'Non-State'!C:C, $G167)+SUMIFS('Non-State'!CG:CG, 'Non-State'!C:C, $G167))</f>
        <v>0</v>
      </c>
      <c r="Q167" s="37">
        <f>IF(OR(G167="", G167="No Results"),  "", SUMIFS('Non-State'!CG:CG, 'Non-State'!C:C, $G167))</f>
        <v>0</v>
      </c>
    </row>
    <row r="168" spans="6:17" x14ac:dyDescent="0.25">
      <c r="F168" s="66">
        <f t="shared" si="6"/>
        <v>131</v>
      </c>
      <c r="G168" s="66" t="str">
        <f>IF(OR(F168="", F168="No Results"),  "", INDEX('Non-State'!C:C, MATCH($F168, 'Non-State'!B:B, 0)))</f>
        <v>345305201</v>
      </c>
      <c r="H168" s="66" t="str">
        <f>IF(OR(F168="", F168="No Results"), "", INDEX('Non-State'!E:E, MATCH($G168, 'Non-State'!$C:$C, 0)))</f>
        <v>1275956807</v>
      </c>
      <c r="I168" s="67" t="str">
        <f>IF(OR(G168="", G168="No Results"), "", INDEX('Non-State'!F:F, MATCH($G168, 'Non-State'!$C:$C, 0)))</f>
        <v>Georgetown Behavioral Health Institute, Llc</v>
      </c>
      <c r="J168" s="37">
        <f>IF(G168="", "", SUMIFS('Non-State'!CH:CH, 'Non-State'!C:C, $G168))</f>
        <v>358037.6</v>
      </c>
      <c r="K168" s="37">
        <f>IF(G168="", "", SUMIFS('Non-State'!BG:BG, 'Non-State'!$C:$C, $G168))</f>
        <v>0</v>
      </c>
      <c r="L168" s="37">
        <f>IF(G168="", "",  SUMIFS('Non-State'!BL:BL, 'Non-State'!$C:$C, $G168)+SUMIFS('Non-State'!CA:CA, 'Non-State'!$C:$C, $G168))</f>
        <v>358037.6</v>
      </c>
      <c r="M168" s="37">
        <f>IF(G168="", "", SUMIFS('Non-State'!BD:BD, 'Non-State'!$C:$C, $G168))</f>
        <v>0</v>
      </c>
      <c r="N168" s="37">
        <f>IF(G168="", "", SUMIFS('Non-State'!BH:BH, 'Non-State'!$C:$C, $G168))</f>
        <v>0</v>
      </c>
      <c r="O168" s="37">
        <f>IF(G168="","",SUMIFS('Non-State'!BO:BO,'Non-State'!$C:$C,$G168)-SUMIFS('Non-State'!BN:BN,'Non-State'!$C:$C,$G168))</f>
        <v>0</v>
      </c>
      <c r="P168" s="37">
        <f>IF(OR(F168="", F168="No Results"),  "", SUMIFS('Non-State'!CF:CF, 'Non-State'!C:C, $G168)+SUMIFS('Non-State'!CG:CG, 'Non-State'!C:C, $G168))</f>
        <v>0</v>
      </c>
      <c r="Q168" s="37">
        <f>IF(OR(G168="", G168="No Results"),  "", SUMIFS('Non-State'!CG:CG, 'Non-State'!C:C, $G168))</f>
        <v>0</v>
      </c>
    </row>
    <row r="169" spans="6:17" x14ac:dyDescent="0.25">
      <c r="F169" s="66">
        <f t="shared" si="6"/>
        <v>132</v>
      </c>
      <c r="G169" s="66" t="str">
        <f>IF(OR(F169="", F169="No Results"),  "", INDEX('Non-State'!C:C, MATCH($F169, 'Non-State'!B:B, 0)))</f>
        <v>348990801</v>
      </c>
      <c r="H169" s="66" t="str">
        <f>IF(OR(F169="", F169="No Results"), "", INDEX('Non-State'!E:E, MATCH($G169, 'Non-State'!$C:$C, 0)))</f>
        <v>1689098790</v>
      </c>
      <c r="I169" s="67" t="str">
        <f>IF(OR(G169="", G169="No Results"), "", INDEX('Non-State'!F:F, MATCH($G169, 'Non-State'!$C:$C, 0)))</f>
        <v>Houston Behavioral Healthcare Hospital</v>
      </c>
      <c r="J169" s="37">
        <f>IF(G169="", "", SUMIFS('Non-State'!CH:CH, 'Non-State'!C:C, $G169))</f>
        <v>1192962.8899999999</v>
      </c>
      <c r="K169" s="37">
        <f>IF(G169="", "", SUMIFS('Non-State'!BG:BG, 'Non-State'!$C:$C, $G169))</f>
        <v>0</v>
      </c>
      <c r="L169" s="37">
        <f>IF(G169="", "",  SUMIFS('Non-State'!BL:BL, 'Non-State'!$C:$C, $G169)+SUMIFS('Non-State'!CA:CA, 'Non-State'!$C:$C, $G169))</f>
        <v>1192962.8899999999</v>
      </c>
      <c r="M169" s="37">
        <f>IF(G169="", "", SUMIFS('Non-State'!BD:BD, 'Non-State'!$C:$C, $G169))</f>
        <v>0</v>
      </c>
      <c r="N169" s="37">
        <f>IF(G169="", "", SUMIFS('Non-State'!BH:BH, 'Non-State'!$C:$C, $G169))</f>
        <v>0</v>
      </c>
      <c r="O169" s="37">
        <f>IF(G169="","",SUMIFS('Non-State'!BO:BO,'Non-State'!$C:$C,$G169)-SUMIFS('Non-State'!BN:BN,'Non-State'!$C:$C,$G169))</f>
        <v>0</v>
      </c>
      <c r="P169" s="37">
        <f>IF(OR(F169="", F169="No Results"),  "", SUMIFS('Non-State'!CF:CF, 'Non-State'!C:C, $G169)+SUMIFS('Non-State'!CG:CG, 'Non-State'!C:C, $G169))</f>
        <v>0</v>
      </c>
      <c r="Q169" s="37">
        <f>IF(OR(G169="", G169="No Results"),  "", SUMIFS('Non-State'!CG:CG, 'Non-State'!C:C, $G169))</f>
        <v>0</v>
      </c>
    </row>
    <row r="170" spans="6:17" x14ac:dyDescent="0.25">
      <c r="F170" s="66">
        <f t="shared" si="6"/>
        <v>133</v>
      </c>
      <c r="G170" s="66" t="str">
        <f>IF(OR(F170="", F170="No Results"),  "", INDEX('Non-State'!C:C, MATCH($F170, 'Non-State'!B:B, 0)))</f>
        <v>349059101</v>
      </c>
      <c r="H170" s="66" t="str">
        <f>IF(OR(F170="", F170="No Results"), "", INDEX('Non-State'!E:E, MATCH($G170, 'Non-State'!$C:$C, 0)))</f>
        <v>1871917971</v>
      </c>
      <c r="I170" s="67" t="str">
        <f>IF(OR(G170="", G170="No Results"), "", INDEX('Non-State'!F:F, MATCH($G170, 'Non-State'!$C:$C, 0)))</f>
        <v>San Antonio Behavioral Healthcare Hospital</v>
      </c>
      <c r="J170" s="37">
        <f>IF(G170="", "", SUMIFS('Non-State'!CH:CH, 'Non-State'!C:C, $G170))</f>
        <v>822145.16</v>
      </c>
      <c r="K170" s="37">
        <f>IF(G170="", "", SUMIFS('Non-State'!BG:BG, 'Non-State'!$C:$C, $G170))</f>
        <v>0</v>
      </c>
      <c r="L170" s="37">
        <f>IF(G170="", "",  SUMIFS('Non-State'!BL:BL, 'Non-State'!$C:$C, $G170)+SUMIFS('Non-State'!CA:CA, 'Non-State'!$C:$C, $G170))</f>
        <v>822145.16</v>
      </c>
      <c r="M170" s="37">
        <f>IF(G170="", "", SUMIFS('Non-State'!BD:BD, 'Non-State'!$C:$C, $G170))</f>
        <v>0</v>
      </c>
      <c r="N170" s="37">
        <f>IF(G170="", "", SUMIFS('Non-State'!BH:BH, 'Non-State'!$C:$C, $G170))</f>
        <v>0</v>
      </c>
      <c r="O170" s="37">
        <f>IF(G170="","",SUMIFS('Non-State'!BO:BO,'Non-State'!$C:$C,$G170)-SUMIFS('Non-State'!BN:BN,'Non-State'!$C:$C,$G170))</f>
        <v>0</v>
      </c>
      <c r="P170" s="37">
        <f>IF(OR(F170="", F170="No Results"),  "", SUMIFS('Non-State'!CF:CF, 'Non-State'!C:C, $G170)+SUMIFS('Non-State'!CG:CG, 'Non-State'!C:C, $G170))</f>
        <v>0</v>
      </c>
      <c r="Q170" s="37">
        <f>IF(OR(G170="", G170="No Results"),  "", SUMIFS('Non-State'!CG:CG, 'Non-State'!C:C, $G170))</f>
        <v>0</v>
      </c>
    </row>
    <row r="171" spans="6:17" x14ac:dyDescent="0.25">
      <c r="F171" s="66">
        <f t="shared" si="6"/>
        <v>134</v>
      </c>
      <c r="G171" s="66" t="str">
        <f>IF(OR(F171="", F171="No Results"),  "", INDEX('Non-State'!C:C, MATCH($F171, 'Non-State'!B:B, 0)))</f>
        <v>354018901</v>
      </c>
      <c r="H171" s="66" t="str">
        <f>IF(OR(F171="", F171="No Results"), "", INDEX('Non-State'!E:E, MATCH($G171, 'Non-State'!$C:$C, 0)))</f>
        <v>1790174860</v>
      </c>
      <c r="I171" s="67" t="str">
        <f>IF(OR(G171="", G171="No Results"), "", INDEX('Non-State'!F:F, MATCH($G171, 'Non-State'!$C:$C, 0)))</f>
        <v>Dallas Regional Medical Center</v>
      </c>
      <c r="J171" s="37">
        <f>IF(G171="", "", SUMIFS('Non-State'!CH:CH, 'Non-State'!C:C, $G171))</f>
        <v>6000000</v>
      </c>
      <c r="K171" s="37">
        <f>IF(G171="", "", SUMIFS('Non-State'!BG:BG, 'Non-State'!$C:$C, $G171))</f>
        <v>0</v>
      </c>
      <c r="L171" s="37">
        <f>IF(G171="", "",  SUMIFS('Non-State'!BL:BL, 'Non-State'!$C:$C, $G171)+SUMIFS('Non-State'!CA:CA, 'Non-State'!$C:$C, $G171))</f>
        <v>6000000</v>
      </c>
      <c r="M171" s="37">
        <f>IF(G171="", "", SUMIFS('Non-State'!BD:BD, 'Non-State'!$C:$C, $G171))</f>
        <v>0</v>
      </c>
      <c r="N171" s="37">
        <f>IF(G171="", "", SUMIFS('Non-State'!BH:BH, 'Non-State'!$C:$C, $G171))</f>
        <v>0</v>
      </c>
      <c r="O171" s="37">
        <f>IF(G171="","",SUMIFS('Non-State'!BO:BO,'Non-State'!$C:$C,$G171)-SUMIFS('Non-State'!BN:BN,'Non-State'!$C:$C,$G171))</f>
        <v>0</v>
      </c>
      <c r="P171" s="37">
        <f>IF(OR(F171="", F171="No Results"),  "", SUMIFS('Non-State'!CF:CF, 'Non-State'!C:C, $G171)+SUMIFS('Non-State'!CG:CG, 'Non-State'!C:C, $G171))</f>
        <v>0</v>
      </c>
      <c r="Q171" s="37">
        <f>IF(OR(G171="", G171="No Results"),  "", SUMIFS('Non-State'!CG:CG, 'Non-State'!C:C, $G171))</f>
        <v>0</v>
      </c>
    </row>
    <row r="172" spans="6:17" x14ac:dyDescent="0.25">
      <c r="F172" s="66">
        <f t="shared" si="6"/>
        <v>135</v>
      </c>
      <c r="G172" s="66" t="str">
        <f>IF(OR(F172="", F172="No Results"),  "", INDEX('Non-State'!C:C, MATCH($F172, 'Non-State'!B:B, 0)))</f>
        <v>361635101</v>
      </c>
      <c r="H172" s="66" t="str">
        <f>IF(OR(F172="", F172="No Results"), "", INDEX('Non-State'!E:E, MATCH($G172, 'Non-State'!$C:$C, 0)))</f>
        <v>1003282039</v>
      </c>
      <c r="I172" s="67" t="str">
        <f>IF(OR(G172="", G172="No Results"), "", INDEX('Non-State'!F:F, MATCH($G172, 'Non-State'!$C:$C, 0)))</f>
        <v>SUN Behavioral Houston</v>
      </c>
      <c r="J172" s="37">
        <f>IF(G172="", "", SUMIFS('Non-State'!CH:CH, 'Non-State'!C:C, $G172))</f>
        <v>2914436.65</v>
      </c>
      <c r="K172" s="37">
        <f>IF(G172="", "", SUMIFS('Non-State'!BG:BG, 'Non-State'!$C:$C, $G172))</f>
        <v>0</v>
      </c>
      <c r="L172" s="37">
        <f>IF(G172="", "",  SUMIFS('Non-State'!BL:BL, 'Non-State'!$C:$C, $G172)+SUMIFS('Non-State'!CA:CA, 'Non-State'!$C:$C, $G172))</f>
        <v>2914436.65</v>
      </c>
      <c r="M172" s="37">
        <f>IF(G172="", "", SUMIFS('Non-State'!BD:BD, 'Non-State'!$C:$C, $G172))</f>
        <v>0</v>
      </c>
      <c r="N172" s="37">
        <f>IF(G172="", "", SUMIFS('Non-State'!BH:BH, 'Non-State'!$C:$C, $G172))</f>
        <v>0</v>
      </c>
      <c r="O172" s="37">
        <f>IF(G172="","",SUMIFS('Non-State'!BO:BO,'Non-State'!$C:$C,$G172)-SUMIFS('Non-State'!BN:BN,'Non-State'!$C:$C,$G172))</f>
        <v>0</v>
      </c>
      <c r="P172" s="37">
        <f>IF(OR(F172="", F172="No Results"),  "", SUMIFS('Non-State'!CF:CF, 'Non-State'!C:C, $G172)+SUMIFS('Non-State'!CG:CG, 'Non-State'!C:C, $G172))</f>
        <v>0</v>
      </c>
      <c r="Q172" s="37">
        <f>IF(OR(G172="", G172="No Results"),  "", SUMIFS('Non-State'!CG:CG, 'Non-State'!C:C, $G172))</f>
        <v>0</v>
      </c>
    </row>
    <row r="173" spans="6:17" x14ac:dyDescent="0.25">
      <c r="F173" s="66">
        <f t="shared" si="6"/>
        <v>136</v>
      </c>
      <c r="G173" s="66" t="str">
        <f>IF(OR(F173="", F173="No Results"),  "", INDEX('Non-State'!C:C, MATCH($F173, 'Non-State'!B:B, 0)))</f>
        <v>366812101</v>
      </c>
      <c r="H173" s="66" t="str">
        <f>IF(OR(F173="", F173="No Results"), "", INDEX('Non-State'!E:E, MATCH($G173, 'Non-State'!$C:$C, 0)))</f>
        <v>1033568621</v>
      </c>
      <c r="I173" s="67" t="str">
        <f>IF(OR(G173="", G173="No Results"), "", INDEX('Non-State'!F:F, MATCH($G173, 'Non-State'!$C:$C, 0)))</f>
        <v>CHRISTUS Mother Frances Hospital - Sulphur Springs</v>
      </c>
      <c r="J173" s="37">
        <f>IF(G173="", "", SUMIFS('Non-State'!CH:CH, 'Non-State'!C:C, $G173))</f>
        <v>7454127.71</v>
      </c>
      <c r="K173" s="37">
        <f>IF(G173="", "", SUMIFS('Non-State'!BG:BG, 'Non-State'!$C:$C, $G173))</f>
        <v>0</v>
      </c>
      <c r="L173" s="37">
        <f>IF(G173="", "",  SUMIFS('Non-State'!BL:BL, 'Non-State'!$C:$C, $G173)+SUMIFS('Non-State'!CA:CA, 'Non-State'!$C:$C, $G173))</f>
        <v>5911236.5999999996</v>
      </c>
      <c r="M173" s="37">
        <f>IF(G173="", "", SUMIFS('Non-State'!BD:BD, 'Non-State'!$C:$C, $G173))</f>
        <v>0</v>
      </c>
      <c r="N173" s="37">
        <f>IF(G173="", "", SUMIFS('Non-State'!BH:BH, 'Non-State'!$C:$C, $G173))</f>
        <v>0</v>
      </c>
      <c r="O173" s="37">
        <f>IF(G173="","",SUMIFS('Non-State'!BO:BO,'Non-State'!$C:$C,$G173)-SUMIFS('Non-State'!BN:BN,'Non-State'!$C:$C,$G173))</f>
        <v>0</v>
      </c>
      <c r="P173" s="37">
        <f>IF(OR(F173="", F173="No Results"),  "", SUMIFS('Non-State'!CF:CF, 'Non-State'!C:C, $G173)+SUMIFS('Non-State'!CG:CG, 'Non-State'!C:C, $G173))</f>
        <v>1542891.11</v>
      </c>
      <c r="Q173" s="37">
        <f>IF(OR(G173="", G173="No Results"),  "", SUMIFS('Non-State'!CG:CG, 'Non-State'!C:C, $G173))</f>
        <v>0</v>
      </c>
    </row>
    <row r="174" spans="6:17" x14ac:dyDescent="0.25">
      <c r="F174" s="66">
        <f t="shared" si="6"/>
        <v>137</v>
      </c>
      <c r="G174" s="66" t="str">
        <f>IF(OR(F174="", F174="No Results"),  "", INDEX('Non-State'!C:C, MATCH($F174, 'Non-State'!B:B, 0)))</f>
        <v>371439601</v>
      </c>
      <c r="H174" s="66" t="str">
        <f>IF(OR(F174="", F174="No Results"), "", INDEX('Non-State'!E:E, MATCH($G174, 'Non-State'!$C:$C, 0)))</f>
        <v>1154782548</v>
      </c>
      <c r="I174" s="67" t="str">
        <f>IF(OR(G174="", G174="No Results"), "", INDEX('Non-State'!F:F, MATCH($G174, 'Non-State'!$C:$C, 0)))</f>
        <v>Palms Behavioral Health</v>
      </c>
      <c r="J174" s="37">
        <f>IF(G174="", "", SUMIFS('Non-State'!CH:CH, 'Non-State'!C:C, $G174))</f>
        <v>2463449.9700000002</v>
      </c>
      <c r="K174" s="37">
        <f>IF(G174="", "", SUMIFS('Non-State'!BG:BG, 'Non-State'!$C:$C, $G174))</f>
        <v>0</v>
      </c>
      <c r="L174" s="37">
        <f>IF(G174="", "",  SUMIFS('Non-State'!BL:BL, 'Non-State'!$C:$C, $G174)+SUMIFS('Non-State'!CA:CA, 'Non-State'!$C:$C, $G174))</f>
        <v>2463449.9700000002</v>
      </c>
      <c r="M174" s="37">
        <f>IF(G174="", "", SUMIFS('Non-State'!BD:BD, 'Non-State'!$C:$C, $G174))</f>
        <v>0</v>
      </c>
      <c r="N174" s="37">
        <f>IF(G174="", "", SUMIFS('Non-State'!BH:BH, 'Non-State'!$C:$C, $G174))</f>
        <v>0</v>
      </c>
      <c r="O174" s="37">
        <f>IF(G174="","",SUMIFS('Non-State'!BO:BO,'Non-State'!$C:$C,$G174)-SUMIFS('Non-State'!BN:BN,'Non-State'!$C:$C,$G174))</f>
        <v>0</v>
      </c>
      <c r="P174" s="37">
        <f>IF(OR(F174="", F174="No Results"),  "", SUMIFS('Non-State'!CF:CF, 'Non-State'!C:C, $G174)+SUMIFS('Non-State'!CG:CG, 'Non-State'!C:C, $G174))</f>
        <v>0</v>
      </c>
      <c r="Q174" s="37">
        <f>IF(OR(G174="", G174="No Results"),  "", SUMIFS('Non-State'!CG:CG, 'Non-State'!C:C, $G174))</f>
        <v>0</v>
      </c>
    </row>
    <row r="175" spans="6:17" x14ac:dyDescent="0.25">
      <c r="F175" s="66">
        <f t="shared" si="6"/>
        <v>138</v>
      </c>
      <c r="G175" s="66" t="str">
        <f>IF(OR(F175="", F175="No Results"),  "", INDEX('Non-State'!C:C, MATCH($F175, 'Non-State'!B:B, 0)))</f>
        <v>387381201</v>
      </c>
      <c r="H175" s="66" t="str">
        <f>IF(OR(F175="", F175="No Results"), "", INDEX('Non-State'!E:E, MATCH($G175, 'Non-State'!$C:$C, 0)))</f>
        <v>1730697350</v>
      </c>
      <c r="I175" s="67" t="str">
        <f>IF(OR(G175="", G175="No Results"), "", INDEX('Non-State'!F:F, MATCH($G175, 'Non-State'!$C:$C, 0)))</f>
        <v>UT Health Jacksonville</v>
      </c>
      <c r="J175" s="37">
        <f>IF(G175="", "", SUMIFS('Non-State'!CH:CH, 'Non-State'!C:C, $G175))</f>
        <v>5512385.6600000001</v>
      </c>
      <c r="K175" s="37">
        <f>IF(G175="", "", SUMIFS('Non-State'!BG:BG, 'Non-State'!$C:$C, $G175))</f>
        <v>0</v>
      </c>
      <c r="L175" s="37">
        <f>IF(G175="", "",  SUMIFS('Non-State'!BL:BL, 'Non-State'!$C:$C, $G175)+SUMIFS('Non-State'!CA:CA, 'Non-State'!$C:$C, $G175))</f>
        <v>4371405.63</v>
      </c>
      <c r="M175" s="37">
        <f>IF(G175="", "", SUMIFS('Non-State'!BD:BD, 'Non-State'!$C:$C, $G175))</f>
        <v>0</v>
      </c>
      <c r="N175" s="37">
        <f>IF(G175="", "", SUMIFS('Non-State'!BH:BH, 'Non-State'!$C:$C, $G175))</f>
        <v>0</v>
      </c>
      <c r="O175" s="37">
        <f>IF(G175="","",SUMIFS('Non-State'!BO:BO,'Non-State'!$C:$C,$G175)-SUMIFS('Non-State'!BN:BN,'Non-State'!$C:$C,$G175))</f>
        <v>0</v>
      </c>
      <c r="P175" s="37">
        <f>IF(OR(F175="", F175="No Results"),  "", SUMIFS('Non-State'!CF:CF, 'Non-State'!C:C, $G175)+SUMIFS('Non-State'!CG:CG, 'Non-State'!C:C, $G175))</f>
        <v>1140980.03</v>
      </c>
      <c r="Q175" s="37">
        <f>IF(OR(G175="", G175="No Results"),  "", SUMIFS('Non-State'!CG:CG, 'Non-State'!C:C, $G175))</f>
        <v>0</v>
      </c>
    </row>
    <row r="176" spans="6:17" x14ac:dyDescent="0.25">
      <c r="F176" s="66">
        <f t="shared" si="6"/>
        <v>139</v>
      </c>
      <c r="G176" s="66" t="str">
        <f>IF(OR(F176="", F176="No Results"),  "", INDEX('Non-State'!C:C, MATCH($F176, 'Non-State'!B:B, 0)))</f>
        <v>387515501</v>
      </c>
      <c r="H176" s="66" t="str">
        <f>IF(OR(F176="", F176="No Results"), "", INDEX('Non-State'!E:E, MATCH($G176, 'Non-State'!$C:$C, 0)))</f>
        <v>1417465824</v>
      </c>
      <c r="I176" s="67" t="str">
        <f>IF(OR(G176="", G176="No Results"), "", INDEX('Non-State'!F:F, MATCH($G176, 'Non-State'!$C:$C, 0)))</f>
        <v>UT Health Athens</v>
      </c>
      <c r="J176" s="37">
        <f>IF(G176="", "", SUMIFS('Non-State'!CH:CH, 'Non-State'!C:C, $G176))</f>
        <v>5706128.4900000002</v>
      </c>
      <c r="K176" s="37">
        <f>IF(G176="", "", SUMIFS('Non-State'!BG:BG, 'Non-State'!$C:$C, $G176))</f>
        <v>0</v>
      </c>
      <c r="L176" s="37">
        <f>IF(G176="", "",  SUMIFS('Non-State'!BL:BL, 'Non-State'!$C:$C, $G176)+SUMIFS('Non-State'!CA:CA, 'Non-State'!$C:$C, $G176))</f>
        <v>5706128.4900000002</v>
      </c>
      <c r="M176" s="37">
        <f>IF(G176="", "", SUMIFS('Non-State'!BD:BD, 'Non-State'!$C:$C, $G176))</f>
        <v>0</v>
      </c>
      <c r="N176" s="37">
        <f>IF(G176="", "", SUMIFS('Non-State'!BH:BH, 'Non-State'!$C:$C, $G176))</f>
        <v>0</v>
      </c>
      <c r="O176" s="37">
        <f>IF(G176="","",SUMIFS('Non-State'!BO:BO,'Non-State'!$C:$C,$G176)-SUMIFS('Non-State'!BN:BN,'Non-State'!$C:$C,$G176))</f>
        <v>0</v>
      </c>
      <c r="P176" s="37">
        <f>IF(OR(F176="", F176="No Results"),  "", SUMIFS('Non-State'!CF:CF, 'Non-State'!C:C, $G176)+SUMIFS('Non-State'!CG:CG, 'Non-State'!C:C, $G176))</f>
        <v>0</v>
      </c>
      <c r="Q176" s="37">
        <f>IF(OR(G176="", G176="No Results"),  "", SUMIFS('Non-State'!CG:CG, 'Non-State'!C:C, $G176))</f>
        <v>0</v>
      </c>
    </row>
    <row r="177" spans="6:17" x14ac:dyDescent="0.25">
      <c r="F177" s="66">
        <f t="shared" si="6"/>
        <v>140</v>
      </c>
      <c r="G177" s="66" t="str">
        <f>IF(OR(F177="", F177="No Results"),  "", INDEX('Non-State'!C:C, MATCH($F177, 'Non-State'!B:B, 0)))</f>
        <v>388347201</v>
      </c>
      <c r="H177" s="66" t="str">
        <f>IF(OR(F177="", F177="No Results"), "", INDEX('Non-State'!E:E, MATCH($G177, 'Non-State'!$C:$C, 0)))</f>
        <v>1407364847</v>
      </c>
      <c r="I177" s="67" t="str">
        <f>IF(OR(G177="", G177="No Results"), "", INDEX('Non-State'!F:F, MATCH($G177, 'Non-State'!$C:$C, 0)))</f>
        <v>UT Health Tyler</v>
      </c>
      <c r="J177" s="37">
        <f>IF(G177="", "", SUMIFS('Non-State'!CH:CH, 'Non-State'!C:C, $G177))</f>
        <v>8000000</v>
      </c>
      <c r="K177" s="37">
        <f>IF(G177="", "", SUMIFS('Non-State'!BG:BG, 'Non-State'!$C:$C, $G177))</f>
        <v>0</v>
      </c>
      <c r="L177" s="37">
        <f>IF(G177="", "",  SUMIFS('Non-State'!BL:BL, 'Non-State'!$C:$C, $G177)+SUMIFS('Non-State'!CA:CA, 'Non-State'!$C:$C, $G177))</f>
        <v>8000000</v>
      </c>
      <c r="M177" s="37">
        <f>IF(G177="", "", SUMIFS('Non-State'!BD:BD, 'Non-State'!$C:$C, $G177))</f>
        <v>0</v>
      </c>
      <c r="N177" s="37">
        <f>IF(G177="", "", SUMIFS('Non-State'!BH:BH, 'Non-State'!$C:$C, $G177))</f>
        <v>0</v>
      </c>
      <c r="O177" s="37">
        <f>IF(G177="","",SUMIFS('Non-State'!BO:BO,'Non-State'!$C:$C,$G177)-SUMIFS('Non-State'!BN:BN,'Non-State'!$C:$C,$G177))</f>
        <v>0</v>
      </c>
      <c r="P177" s="37">
        <f>IF(OR(F177="", F177="No Results"),  "", SUMIFS('Non-State'!CF:CF, 'Non-State'!C:C, $G177)+SUMIFS('Non-State'!CG:CG, 'Non-State'!C:C, $G177))</f>
        <v>0</v>
      </c>
      <c r="Q177" s="37">
        <f>IF(OR(G177="", G177="No Results"),  "", SUMIFS('Non-State'!CG:CG, 'Non-State'!C:C, $G177))</f>
        <v>0</v>
      </c>
    </row>
    <row r="178" spans="6:17" x14ac:dyDescent="0.25">
      <c r="F178" s="66">
        <f t="shared" si="6"/>
        <v>141</v>
      </c>
      <c r="G178" s="66" t="str">
        <f>IF(OR(F178="", F178="No Results"),  "", INDEX('Non-State'!C:C, MATCH($F178, 'Non-State'!B:B, 0)))</f>
        <v>391264401</v>
      </c>
      <c r="H178" s="66" t="str">
        <f>IF(OR(F178="", F178="No Results"), "", INDEX('Non-State'!E:E, MATCH($G178, 'Non-State'!$C:$C, 0)))</f>
        <v>1740791748</v>
      </c>
      <c r="I178" s="67" t="str">
        <f>IF(OR(G178="", G178="No Results"), "", INDEX('Non-State'!F:F, MATCH($G178, 'Non-State'!$C:$C, 0)))</f>
        <v>Woodland Springs, Llc</v>
      </c>
      <c r="J178" s="37">
        <f>IF(G178="", "", SUMIFS('Non-State'!CH:CH, 'Non-State'!C:C, $G178))</f>
        <v>1896532.2</v>
      </c>
      <c r="K178" s="37">
        <f>IF(G178="", "", SUMIFS('Non-State'!BG:BG, 'Non-State'!$C:$C, $G178))</f>
        <v>0</v>
      </c>
      <c r="L178" s="37">
        <f>IF(G178="", "",  SUMIFS('Non-State'!BL:BL, 'Non-State'!$C:$C, $G178)+SUMIFS('Non-State'!CA:CA, 'Non-State'!$C:$C, $G178))</f>
        <v>1896532.2</v>
      </c>
      <c r="M178" s="37">
        <f>IF(G178="", "", SUMIFS('Non-State'!BD:BD, 'Non-State'!$C:$C, $G178))</f>
        <v>0</v>
      </c>
      <c r="N178" s="37">
        <f>IF(G178="", "", SUMIFS('Non-State'!BH:BH, 'Non-State'!$C:$C, $G178))</f>
        <v>0</v>
      </c>
      <c r="O178" s="37">
        <f>IF(G178="","",SUMIFS('Non-State'!BO:BO,'Non-State'!$C:$C,$G178)-SUMIFS('Non-State'!BN:BN,'Non-State'!$C:$C,$G178))</f>
        <v>0</v>
      </c>
      <c r="P178" s="37">
        <f>IF(OR(F178="", F178="No Results"),  "", SUMIFS('Non-State'!CF:CF, 'Non-State'!C:C, $G178)+SUMIFS('Non-State'!CG:CG, 'Non-State'!C:C, $G178))</f>
        <v>0</v>
      </c>
      <c r="Q178" s="37">
        <f>IF(OR(G178="", G178="No Results"),  "", SUMIFS('Non-State'!CG:CG, 'Non-State'!C:C, $G178))</f>
        <v>0</v>
      </c>
    </row>
    <row r="179" spans="6:17" x14ac:dyDescent="0.25">
      <c r="F179" s="66">
        <f t="shared" si="6"/>
        <v>142</v>
      </c>
      <c r="G179" s="66" t="str">
        <f>IF(OR(F179="", F179="No Results"),  "", INDEX('Non-State'!C:C, MATCH($F179, 'Non-State'!B:B, 0)))</f>
        <v>391575301</v>
      </c>
      <c r="H179" s="66" t="str">
        <f>IF(OR(F179="", F179="No Results"), "", INDEX('Non-State'!E:E, MATCH($G179, 'Non-State'!$C:$C, 0)))</f>
        <v>1083112023</v>
      </c>
      <c r="I179" s="67" t="str">
        <f>IF(OR(G179="", G179="No Results"), "", INDEX('Non-State'!F:F, MATCH($G179, 'Non-State'!$C:$C, 0)))</f>
        <v>White Rock Medical Center</v>
      </c>
      <c r="J179" s="37">
        <f>IF(G179="", "", SUMIFS('Non-State'!CH:CH, 'Non-State'!C:C, $G179))</f>
        <v>6000000</v>
      </c>
      <c r="K179" s="37">
        <f>IF(G179="", "", SUMIFS('Non-State'!BG:BG, 'Non-State'!$C:$C, $G179))</f>
        <v>0</v>
      </c>
      <c r="L179" s="37">
        <f>IF(G179="", "",  SUMIFS('Non-State'!BL:BL, 'Non-State'!$C:$C, $G179)+SUMIFS('Non-State'!CA:CA, 'Non-State'!$C:$C, $G179))</f>
        <v>6000000</v>
      </c>
      <c r="M179" s="37">
        <f>IF(G179="", "", SUMIFS('Non-State'!BD:BD, 'Non-State'!$C:$C, $G179))</f>
        <v>0</v>
      </c>
      <c r="N179" s="37">
        <f>IF(G179="", "", SUMIFS('Non-State'!BH:BH, 'Non-State'!$C:$C, $G179))</f>
        <v>0</v>
      </c>
      <c r="O179" s="37">
        <f>IF(G179="","",SUMIFS('Non-State'!BO:BO,'Non-State'!$C:$C,$G179)-SUMIFS('Non-State'!BN:BN,'Non-State'!$C:$C,$G179))</f>
        <v>0</v>
      </c>
      <c r="P179" s="37">
        <f>IF(OR(F179="", F179="No Results"),  "", SUMIFS('Non-State'!CF:CF, 'Non-State'!C:C, $G179)+SUMIFS('Non-State'!CG:CG, 'Non-State'!C:C, $G179))</f>
        <v>0</v>
      </c>
      <c r="Q179" s="37">
        <f>IF(OR(G179="", G179="No Results"),  "", SUMIFS('Non-State'!CG:CG, 'Non-State'!C:C, $G179))</f>
        <v>0</v>
      </c>
    </row>
    <row r="180" spans="6:17" x14ac:dyDescent="0.25">
      <c r="F180" s="66">
        <f t="shared" si="6"/>
        <v>143</v>
      </c>
      <c r="G180" s="66" t="str">
        <f>IF(OR(F180="", F180="No Results"),  "", INDEX('Non-State'!C:C, MATCH($F180, 'Non-State'!B:B, 0)))</f>
        <v>401736001</v>
      </c>
      <c r="H180" s="66" t="str">
        <f>IF(OR(F180="", F180="No Results"), "", INDEX('Non-State'!E:E, MATCH($G180, 'Non-State'!$C:$C, 0)))</f>
        <v>1104383371</v>
      </c>
      <c r="I180" s="67" t="str">
        <f>IF(OR(G180="", G180="No Results"), "", INDEX('Non-State'!F:F, MATCH($G180, 'Non-State'!$C:$C, 0)))</f>
        <v>Goodall-Witcher Hospital</v>
      </c>
      <c r="J180" s="37">
        <f>IF(G180="", "", SUMIFS('Non-State'!CH:CH, 'Non-State'!C:C, $G180))</f>
        <v>1646459.02</v>
      </c>
      <c r="K180" s="37">
        <f>IF(G180="", "", SUMIFS('Non-State'!BG:BG, 'Non-State'!$C:$C, $G180))</f>
        <v>0</v>
      </c>
      <c r="L180" s="37">
        <f>IF(G180="", "",  SUMIFS('Non-State'!BL:BL, 'Non-State'!$C:$C, $G180)+SUMIFS('Non-State'!CA:CA, 'Non-State'!$C:$C, $G180))</f>
        <v>1646459.02</v>
      </c>
      <c r="M180" s="37">
        <f>IF(G180="", "", SUMIFS('Non-State'!BD:BD, 'Non-State'!$C:$C, $G180))</f>
        <v>578401.05516889784</v>
      </c>
      <c r="N180" s="37">
        <f>IF(G180="", "", SUMIFS('Non-State'!BH:BH, 'Non-State'!$C:$C, $G180))</f>
        <v>0</v>
      </c>
      <c r="O180" s="37">
        <f>IF(G180="","",SUMIFS('Non-State'!BO:BO,'Non-State'!$C:$C,$G180)-SUMIFS('Non-State'!BN:BN,'Non-State'!$C:$C,$G180))</f>
        <v>578401.06000000006</v>
      </c>
      <c r="P180" s="37">
        <f>IF(OR(F180="", F180="No Results"),  "", SUMIFS('Non-State'!CF:CF, 'Non-State'!C:C, $G180)+SUMIFS('Non-State'!CG:CG, 'Non-State'!C:C, $G180))</f>
        <v>0</v>
      </c>
      <c r="Q180" s="37">
        <f>IF(OR(G180="", G180="No Results"),  "", SUMIFS('Non-State'!CG:CG, 'Non-State'!C:C, $G180))</f>
        <v>0</v>
      </c>
    </row>
    <row r="181" spans="6:17" x14ac:dyDescent="0.25">
      <c r="F181" s="66">
        <f t="shared" si="6"/>
        <v>144</v>
      </c>
      <c r="G181" s="66" t="str">
        <f>IF(OR(F181="", F181="No Results"),  "", INDEX('Non-State'!C:C, MATCH($F181, 'Non-State'!B:B, 0)))</f>
        <v>405102101</v>
      </c>
      <c r="H181" s="66" t="str">
        <f>IF(OR(F181="", F181="No Results"), "", INDEX('Non-State'!E:E, MATCH($G181, 'Non-State'!$C:$C, 0)))</f>
        <v>1285191452</v>
      </c>
      <c r="I181" s="67" t="str">
        <f>IF(OR(G181="", G181="No Results"), "", INDEX('Non-State'!F:F, MATCH($G181, 'Non-State'!$C:$C, 0)))</f>
        <v>Scenic Mountain Medical Center</v>
      </c>
      <c r="J181" s="37">
        <f>IF(G181="", "", SUMIFS('Non-State'!CH:CH, 'Non-State'!C:C, $G181))</f>
        <v>6352390.7199999997</v>
      </c>
      <c r="K181" s="37">
        <f>IF(G181="", "", SUMIFS('Non-State'!BG:BG, 'Non-State'!$C:$C, $G181))</f>
        <v>0</v>
      </c>
      <c r="L181" s="37">
        <f>IF(G181="", "",  SUMIFS('Non-State'!BL:BL, 'Non-State'!$C:$C, $G181)+SUMIFS('Non-State'!CA:CA, 'Non-State'!$C:$C, $G181))</f>
        <v>5037542.42</v>
      </c>
      <c r="M181" s="37">
        <f>IF(G181="", "", SUMIFS('Non-State'!BD:BD, 'Non-State'!$C:$C, $G181))</f>
        <v>0</v>
      </c>
      <c r="N181" s="37">
        <f>IF(G181="", "", SUMIFS('Non-State'!BH:BH, 'Non-State'!$C:$C, $G181))</f>
        <v>0</v>
      </c>
      <c r="O181" s="37">
        <f>IF(G181="","",SUMIFS('Non-State'!BO:BO,'Non-State'!$C:$C,$G181)-SUMIFS('Non-State'!BN:BN,'Non-State'!$C:$C,$G181))</f>
        <v>0</v>
      </c>
      <c r="P181" s="37">
        <f>IF(OR(F181="", F181="No Results"),  "", SUMIFS('Non-State'!CF:CF, 'Non-State'!C:C, $G181)+SUMIFS('Non-State'!CG:CG, 'Non-State'!C:C, $G181))</f>
        <v>1314848.3</v>
      </c>
      <c r="Q181" s="37">
        <f>IF(OR(G181="", G181="No Results"),  "", SUMIFS('Non-State'!CG:CG, 'Non-State'!C:C, $G181))</f>
        <v>0</v>
      </c>
    </row>
    <row r="182" spans="6:17" x14ac:dyDescent="0.25">
      <c r="F182" s="66">
        <f t="shared" si="6"/>
        <v>145</v>
      </c>
      <c r="G182" s="66" t="str">
        <f>IF(OR(F182="", F182="No Results"),  "", INDEX('Non-State'!C:C, MATCH($F182, 'Non-State'!B:B, 0)))</f>
        <v>406443801</v>
      </c>
      <c r="H182" s="66" t="str">
        <f>IF(OR(F182="", F182="No Results"), "", INDEX('Non-State'!E:E, MATCH($G182, 'Non-State'!$C:$C, 0)))</f>
        <v>1346805520</v>
      </c>
      <c r="I182" s="67" t="str">
        <f>IF(OR(G182="", G182="No Results"), "", INDEX('Non-State'!F:F, MATCH($G182, 'Non-State'!$C:$C, 0)))</f>
        <v>Perimeter Behavioral Hospital Of Arlington, Llc</v>
      </c>
      <c r="J182" s="37">
        <f>IF(G182="", "", SUMIFS('Non-State'!CH:CH, 'Non-State'!C:C, $G182))</f>
        <v>794424.95</v>
      </c>
      <c r="K182" s="37">
        <f>IF(G182="", "", SUMIFS('Non-State'!BG:BG, 'Non-State'!$C:$C, $G182))</f>
        <v>0</v>
      </c>
      <c r="L182" s="37">
        <f>IF(G182="", "",  SUMIFS('Non-State'!BL:BL, 'Non-State'!$C:$C, $G182)+SUMIFS('Non-State'!CA:CA, 'Non-State'!$C:$C, $G182))</f>
        <v>794424.95</v>
      </c>
      <c r="M182" s="37">
        <f>IF(G182="", "", SUMIFS('Non-State'!BD:BD, 'Non-State'!$C:$C, $G182))</f>
        <v>0</v>
      </c>
      <c r="N182" s="37">
        <f>IF(G182="", "", SUMIFS('Non-State'!BH:BH, 'Non-State'!$C:$C, $G182))</f>
        <v>0</v>
      </c>
      <c r="O182" s="37">
        <f>IF(G182="","",SUMIFS('Non-State'!BO:BO,'Non-State'!$C:$C,$G182)-SUMIFS('Non-State'!BN:BN,'Non-State'!$C:$C,$G182))</f>
        <v>0</v>
      </c>
      <c r="P182" s="37">
        <f>IF(OR(F182="", F182="No Results"),  "", SUMIFS('Non-State'!CF:CF, 'Non-State'!C:C, $G182)+SUMIFS('Non-State'!CG:CG, 'Non-State'!C:C, $G182))</f>
        <v>0</v>
      </c>
      <c r="Q182" s="37">
        <f>IF(OR(G182="", G182="No Results"),  "", SUMIFS('Non-State'!CG:CG, 'Non-State'!C:C, $G182))</f>
        <v>0</v>
      </c>
    </row>
    <row r="183" spans="6:17" x14ac:dyDescent="0.25">
      <c r="F183" s="66">
        <f t="shared" si="6"/>
        <v>146</v>
      </c>
      <c r="G183" s="66" t="str">
        <f>IF(OR(F183="", F183="No Results"),  "", INDEX('Non-State'!C:C, MATCH($F183, 'Non-State'!B:B, 0)))</f>
        <v>408236401</v>
      </c>
      <c r="H183" s="66">
        <f>IF(OR(F183="", F183="No Results"), "", INDEX('Non-State'!E:E, MATCH($G183, 'Non-State'!$C:$C, 0)))</f>
        <v>1700441086</v>
      </c>
      <c r="I183" s="67" t="str">
        <f>IF(OR(G183="", G183="No Results"), "", INDEX('Non-State'!F:F, MATCH($G183, 'Non-State'!$C:$C, 0)))</f>
        <v>Perimeter Behavioral Hospital Of Dallas</v>
      </c>
      <c r="J183" s="37">
        <f>IF(G183="", "", SUMIFS('Non-State'!CH:CH, 'Non-State'!C:C, $G183))</f>
        <v>1021259.76</v>
      </c>
      <c r="K183" s="37">
        <f>IF(G183="", "", SUMIFS('Non-State'!BG:BG, 'Non-State'!$C:$C, $G183))</f>
        <v>0</v>
      </c>
      <c r="L183" s="37">
        <f>IF(G183="", "",  SUMIFS('Non-State'!BL:BL, 'Non-State'!$C:$C, $G183)+SUMIFS('Non-State'!CA:CA, 'Non-State'!$C:$C, $G183))</f>
        <v>1021259.76</v>
      </c>
      <c r="M183" s="37">
        <f>IF(G183="", "", SUMIFS('Non-State'!BD:BD, 'Non-State'!$C:$C, $G183))</f>
        <v>0</v>
      </c>
      <c r="N183" s="37">
        <f>IF(G183="", "", SUMIFS('Non-State'!BH:BH, 'Non-State'!$C:$C, $G183))</f>
        <v>0</v>
      </c>
      <c r="O183" s="37">
        <f>IF(G183="","",SUMIFS('Non-State'!BO:BO,'Non-State'!$C:$C,$G183)-SUMIFS('Non-State'!BN:BN,'Non-State'!$C:$C,$G183))</f>
        <v>0</v>
      </c>
      <c r="P183" s="37">
        <f>IF(OR(F183="", F183="No Results"),  "", SUMIFS('Non-State'!CF:CF, 'Non-State'!C:C, $G183)+SUMIFS('Non-State'!CG:CG, 'Non-State'!C:C, $G183))</f>
        <v>0</v>
      </c>
      <c r="Q183" s="37">
        <f>IF(OR(G183="", G183="No Results"),  "", SUMIFS('Non-State'!CG:CG, 'Non-State'!C:C, $G183))</f>
        <v>0</v>
      </c>
    </row>
    <row r="184" spans="6:17" x14ac:dyDescent="0.25">
      <c r="F184" s="66">
        <f t="shared" si="6"/>
        <v>147</v>
      </c>
      <c r="G184" s="66" t="str">
        <f>IF(OR(F184="", F184="No Results"),  "", INDEX('Non-State'!C:C, MATCH($F184, 'Non-State'!B:B, 0)))</f>
        <v>408600101</v>
      </c>
      <c r="H184" s="66" t="str">
        <f>IF(OR(F184="", F184="No Results"), "", INDEX('Non-State'!E:E, MATCH($G184, 'Non-State'!$C:$C, 0)))</f>
        <v>1972517365</v>
      </c>
      <c r="I184" s="67" t="str">
        <f>IF(OR(G184="", G184="No Results"), "", INDEX('Non-State'!F:F, MATCH($G184, 'Non-State'!$C:$C, 0)))</f>
        <v>Covenant Medical Center</v>
      </c>
      <c r="J184" s="37">
        <f>IF(G184="", "", SUMIFS('Non-State'!CH:CH, 'Non-State'!C:C, $G184))</f>
        <v>8000000</v>
      </c>
      <c r="K184" s="37">
        <f>IF(G184="", "", SUMIFS('Non-State'!BG:BG, 'Non-State'!$C:$C, $G184))</f>
        <v>0</v>
      </c>
      <c r="L184" s="37">
        <f>IF(G184="", "",  SUMIFS('Non-State'!BL:BL, 'Non-State'!$C:$C, $G184)+SUMIFS('Non-State'!CA:CA, 'Non-State'!$C:$C, $G184))</f>
        <v>8000000</v>
      </c>
      <c r="M184" s="37">
        <f>IF(G184="", "", SUMIFS('Non-State'!BD:BD, 'Non-State'!$C:$C, $G184))</f>
        <v>0</v>
      </c>
      <c r="N184" s="37">
        <f>IF(G184="", "", SUMIFS('Non-State'!BH:BH, 'Non-State'!$C:$C, $G184))</f>
        <v>0</v>
      </c>
      <c r="O184" s="37">
        <f>IF(G184="","",SUMIFS('Non-State'!BO:BO,'Non-State'!$C:$C,$G184)-SUMIFS('Non-State'!BN:BN,'Non-State'!$C:$C,$G184))</f>
        <v>0</v>
      </c>
      <c r="P184" s="37">
        <f>IF(OR(F184="", F184="No Results"),  "", SUMIFS('Non-State'!CF:CF, 'Non-State'!C:C, $G184)+SUMIFS('Non-State'!CG:CG, 'Non-State'!C:C, $G184))</f>
        <v>0</v>
      </c>
      <c r="Q184" s="37">
        <f>IF(OR(G184="", G184="No Results"),  "", SUMIFS('Non-State'!CG:CG, 'Non-State'!C:C, $G184))</f>
        <v>0</v>
      </c>
    </row>
    <row r="185" spans="6:17" x14ac:dyDescent="0.25">
      <c r="F185" s="66">
        <f t="shared" si="6"/>
        <v>148</v>
      </c>
      <c r="G185" s="66" t="str">
        <f>IF(OR(F185="", F185="No Results"),  "", INDEX('Non-State'!C:C, MATCH($F185, 'Non-State'!B:B, 0)))</f>
        <v>415580601</v>
      </c>
      <c r="H185" s="66" t="str">
        <f>IF(OR(F185="", F185="No Results"), "", INDEX('Non-State'!E:E, MATCH($G185, 'Non-State'!$C:$C, 0)))</f>
        <v>1447883301</v>
      </c>
      <c r="I185" s="67" t="str">
        <f>IF(OR(G185="", G185="No Results"), "", INDEX('Non-State'!F:F, MATCH($G185, 'Non-State'!$C:$C, 0)))</f>
        <v>DBA CHRISTUS Santa Rosa Hospital-San Marcos</v>
      </c>
      <c r="J185" s="37">
        <f>IF(G185="", "", SUMIFS('Non-State'!CH:CH, 'Non-State'!C:C, $G185))</f>
        <v>6686756.8099999996</v>
      </c>
      <c r="K185" s="37">
        <f>IF(G185="", "", SUMIFS('Non-State'!BG:BG, 'Non-State'!$C:$C, $G185))</f>
        <v>0</v>
      </c>
      <c r="L185" s="37">
        <f>IF(G185="", "",  SUMIFS('Non-State'!BL:BL, 'Non-State'!$C:$C, $G185)+SUMIFS('Non-State'!CA:CA, 'Non-State'!$C:$C, $G185))</f>
        <v>6686756.8099999996</v>
      </c>
      <c r="M185" s="37">
        <f>IF(G185="", "", SUMIFS('Non-State'!BD:BD, 'Non-State'!$C:$C, $G185))</f>
        <v>0</v>
      </c>
      <c r="N185" s="37">
        <f>IF(G185="", "", SUMIFS('Non-State'!BH:BH, 'Non-State'!$C:$C, $G185))</f>
        <v>0</v>
      </c>
      <c r="O185" s="37">
        <f>IF(G185="","",SUMIFS('Non-State'!BO:BO,'Non-State'!$C:$C,$G185)-SUMIFS('Non-State'!BN:BN,'Non-State'!$C:$C,$G185))</f>
        <v>0</v>
      </c>
      <c r="P185" s="37">
        <f>IF(OR(F185="", F185="No Results"),  "", SUMIFS('Non-State'!CF:CF, 'Non-State'!C:C, $G185)+SUMIFS('Non-State'!CG:CG, 'Non-State'!C:C, $G185))</f>
        <v>0</v>
      </c>
      <c r="Q185" s="37">
        <f>IF(OR(G185="", G185="No Results"),  "", SUMIFS('Non-State'!CG:CG, 'Non-State'!C:C, $G185))</f>
        <v>0</v>
      </c>
    </row>
    <row r="186" spans="6:17" x14ac:dyDescent="0.25">
      <c r="F186" s="66">
        <f t="shared" si="6"/>
        <v>149</v>
      </c>
      <c r="G186" s="66" t="str">
        <f>IF(OR(F186="", F186="No Results"),  "", INDEX('Non-State'!C:C, MATCH($F186, 'Non-State'!B:B, 0)))</f>
        <v>420957901</v>
      </c>
      <c r="H186" s="66" t="str">
        <f>IF(OR(F186="", F186="No Results"), "", INDEX('Non-State'!E:E, MATCH($G186, 'Non-State'!$C:$C, 0)))</f>
        <v>1184233785</v>
      </c>
      <c r="I186" s="67" t="str">
        <f>IF(OR(G186="", G186="No Results"), "", INDEX('Non-State'!F:F, MATCH($G186, 'Non-State'!$C:$C, 0)))</f>
        <v>Hendrick Medical Center Brownwood</v>
      </c>
      <c r="J186" s="37">
        <f>IF(G186="", "", SUMIFS('Non-State'!CH:CH, 'Non-State'!C:C, $G186))</f>
        <v>1734056.6400000001</v>
      </c>
      <c r="K186" s="37">
        <f>IF(G186="", "", SUMIFS('Non-State'!BG:BG, 'Non-State'!$C:$C, $G186))</f>
        <v>0</v>
      </c>
      <c r="L186" s="37">
        <f>IF(G186="", "",  SUMIFS('Non-State'!BL:BL, 'Non-State'!$C:$C, $G186)+SUMIFS('Non-State'!CA:CA, 'Non-State'!$C:$C, $G186))</f>
        <v>1375133.28</v>
      </c>
      <c r="M186" s="37">
        <f>IF(G186="", "", SUMIFS('Non-State'!BD:BD, 'Non-State'!$C:$C, $G186))</f>
        <v>0</v>
      </c>
      <c r="N186" s="37">
        <f>IF(G186="", "", SUMIFS('Non-State'!BH:BH, 'Non-State'!$C:$C, $G186))</f>
        <v>0</v>
      </c>
      <c r="O186" s="37">
        <f>IF(G186="","",SUMIFS('Non-State'!BO:BO,'Non-State'!$C:$C,$G186)-SUMIFS('Non-State'!BN:BN,'Non-State'!$C:$C,$G186))</f>
        <v>0</v>
      </c>
      <c r="P186" s="37">
        <f>IF(OR(F186="", F186="No Results"),  "", SUMIFS('Non-State'!CF:CF, 'Non-State'!C:C, $G186)+SUMIFS('Non-State'!CG:CG, 'Non-State'!C:C, $G186))</f>
        <v>358923.36</v>
      </c>
      <c r="Q186" s="37">
        <f>IF(OR(G186="", G186="No Results"),  "", SUMIFS('Non-State'!CG:CG, 'Non-State'!C:C, $G186))</f>
        <v>0</v>
      </c>
    </row>
    <row r="187" spans="6:17" x14ac:dyDescent="0.25">
      <c r="F187" s="66" t="str">
        <f t="shared" si="6"/>
        <v/>
      </c>
      <c r="G187" s="66" t="str">
        <f>IF(OR(F187="", F187="No Results"),  "", INDEX('Non-State'!C:C, MATCH($F187, 'Non-State'!B:B, 0)))</f>
        <v/>
      </c>
      <c r="H187" s="66" t="str">
        <f>IF(OR(F187="", F187="No Results"), "", INDEX('Non-State'!E:E, MATCH($G187, 'Non-State'!$C:$C, 0)))</f>
        <v/>
      </c>
      <c r="I187" s="67" t="str">
        <f>IF(OR(G187="", G187="No Results"), "", INDEX('Non-State'!F:F, MATCH($G187, 'Non-State'!$C:$C, 0)))</f>
        <v/>
      </c>
      <c r="J187" s="37" t="str">
        <f>IF(G187="", "", SUMIFS('Non-State'!CH:CH, 'Non-State'!C:C, $G187))</f>
        <v/>
      </c>
      <c r="K187" s="37" t="str">
        <f>IF(G187="", "", SUMIFS('Non-State'!BG:BG, 'Non-State'!$C:$C, $G187))</f>
        <v/>
      </c>
      <c r="L187" s="37" t="str">
        <f>IF(G187="", "",  SUMIFS('Non-State'!BL:BL, 'Non-State'!$C:$C, $G187)+SUMIFS('Non-State'!CA:CA, 'Non-State'!$C:$C, $G187))</f>
        <v/>
      </c>
      <c r="M187" s="37" t="str">
        <f>IF(G187="", "", SUMIFS('Non-State'!BD:BD, 'Non-State'!$C:$C, $G187))</f>
        <v/>
      </c>
      <c r="N187" s="37" t="str">
        <f>IF(G187="", "", SUMIFS('Non-State'!BH:BH, 'Non-State'!$C:$C, $G187))</f>
        <v/>
      </c>
      <c r="O187" s="37" t="str">
        <f>IF(G187="","",SUMIFS('Non-State'!BO:BO,'Non-State'!$C:$C,$G187)-SUMIFS('Non-State'!BN:BN,'Non-State'!$C:$C,$G187))</f>
        <v/>
      </c>
      <c r="P187" s="37" t="str">
        <f>IF(OR(F187="", F187="No Results"),  "", SUMIFS('Non-State'!CF:CF, 'Non-State'!C:C, $G187)+SUMIFS('Non-State'!CG:CG, 'Non-State'!C:C, $G187))</f>
        <v/>
      </c>
      <c r="Q187" s="37" t="str">
        <f>IF(OR(G187="", G187="No Results"),  "", SUMIFS('Non-State'!CG:CG, 'Non-State'!C:C, $G187))</f>
        <v/>
      </c>
    </row>
    <row r="188" spans="6:17" x14ac:dyDescent="0.25">
      <c r="F188" s="66" t="str">
        <f t="shared" si="6"/>
        <v/>
      </c>
      <c r="G188" s="66" t="str">
        <f>IF(OR(F188="", F188="No Results"),  "", INDEX('Non-State'!C:C, MATCH($F188, 'Non-State'!B:B, 0)))</f>
        <v/>
      </c>
      <c r="H188" s="66" t="str">
        <f>IF(OR(F188="", F188="No Results"), "", INDEX('Non-State'!E:E, MATCH($G188, 'Non-State'!$C:$C, 0)))</f>
        <v/>
      </c>
      <c r="I188" s="67" t="str">
        <f>IF(OR(G188="", G188="No Results"), "", INDEX('Non-State'!F:F, MATCH($G188, 'Non-State'!$C:$C, 0)))</f>
        <v/>
      </c>
      <c r="J188" s="37" t="str">
        <f>IF(G188="", "", SUMIFS('Non-State'!CH:CH, 'Non-State'!C:C, $G188))</f>
        <v/>
      </c>
      <c r="K188" s="37" t="str">
        <f>IF(G188="", "", SUMIFS('Non-State'!BG:BG, 'Non-State'!$C:$C, $G188))</f>
        <v/>
      </c>
      <c r="L188" s="37" t="str">
        <f>IF(G188="", "",  SUMIFS('Non-State'!BL:BL, 'Non-State'!$C:$C, $G188)+SUMIFS('Non-State'!CA:CA, 'Non-State'!$C:$C, $G188))</f>
        <v/>
      </c>
      <c r="M188" s="37" t="str">
        <f>IF(G188="", "", SUMIFS('Non-State'!BD:BD, 'Non-State'!$C:$C, $G188))</f>
        <v/>
      </c>
      <c r="N188" s="37" t="str">
        <f>IF(G188="", "", SUMIFS('Non-State'!BH:BH, 'Non-State'!$C:$C, $G188))</f>
        <v/>
      </c>
      <c r="O188" s="37" t="str">
        <f>IF(G188="","",SUMIFS('Non-State'!BO:BO,'Non-State'!$C:$C,$G188)-SUMIFS('Non-State'!BN:BN,'Non-State'!$C:$C,$G188))</f>
        <v/>
      </c>
      <c r="P188" s="37" t="str">
        <f>IF(OR(F188="", F188="No Results"),  "", SUMIFS('Non-State'!CF:CF, 'Non-State'!C:C, $G188)+SUMIFS('Non-State'!CG:CG, 'Non-State'!C:C, $G188))</f>
        <v/>
      </c>
      <c r="Q188" s="37" t="str">
        <f>IF(OR(G188="", G188="No Results"),  "", SUMIFS('Non-State'!CG:CG, 'Non-State'!C:C, $G188))</f>
        <v/>
      </c>
    </row>
    <row r="189" spans="6:17" x14ac:dyDescent="0.25">
      <c r="F189" s="66" t="str">
        <f t="shared" si="6"/>
        <v/>
      </c>
      <c r="G189" s="66" t="str">
        <f>IF(OR(F189="", F189="No Results"),  "", INDEX('Non-State'!C:C, MATCH($F189, 'Non-State'!B:B, 0)))</f>
        <v/>
      </c>
      <c r="H189" s="66" t="str">
        <f>IF(OR(F189="", F189="No Results"), "", INDEX('Non-State'!E:E, MATCH($G189, 'Non-State'!$C:$C, 0)))</f>
        <v/>
      </c>
      <c r="I189" s="67" t="str">
        <f>IF(OR(G189="", G189="No Results"), "", INDEX('Non-State'!F:F, MATCH($G189, 'Non-State'!$C:$C, 0)))</f>
        <v/>
      </c>
      <c r="J189" s="37" t="str">
        <f>IF(G189="", "", SUMIFS('Non-State'!CH:CH, 'Non-State'!C:C, $G189))</f>
        <v/>
      </c>
      <c r="K189" s="37" t="str">
        <f>IF(G189="", "", SUMIFS('Non-State'!BG:BG, 'Non-State'!$C:$C, $G189))</f>
        <v/>
      </c>
      <c r="L189" s="37" t="str">
        <f>IF(G189="", "",  SUMIFS('Non-State'!BL:BL, 'Non-State'!$C:$C, $G189)+SUMIFS('Non-State'!CA:CA, 'Non-State'!$C:$C, $G189))</f>
        <v/>
      </c>
      <c r="M189" s="37" t="str">
        <f>IF(G189="", "", SUMIFS('Non-State'!BD:BD, 'Non-State'!$C:$C, $G189))</f>
        <v/>
      </c>
      <c r="N189" s="37" t="str">
        <f>IF(G189="", "", SUMIFS('Non-State'!BH:BH, 'Non-State'!$C:$C, $G189))</f>
        <v/>
      </c>
      <c r="O189" s="37" t="str">
        <f>IF(G189="","",SUMIFS('Non-State'!BO:BO,'Non-State'!$C:$C,$G189)-SUMIFS('Non-State'!BN:BN,'Non-State'!$C:$C,$G189))</f>
        <v/>
      </c>
      <c r="P189" s="37" t="str">
        <f>IF(OR(F189="", F189="No Results"),  "", SUMIFS('Non-State'!CF:CF, 'Non-State'!C:C, $G189)+SUMIFS('Non-State'!CG:CG, 'Non-State'!C:C, $G189))</f>
        <v/>
      </c>
      <c r="Q189" s="37" t="str">
        <f>IF(OR(G189="", G189="No Results"),  "", SUMIFS('Non-State'!CG:CG, 'Non-State'!C:C, $G189))</f>
        <v/>
      </c>
    </row>
    <row r="190" spans="6:17" x14ac:dyDescent="0.25">
      <c r="F190" s="66" t="str">
        <f t="shared" si="6"/>
        <v/>
      </c>
      <c r="G190" s="66" t="str">
        <f>IF(OR(F190="", F190="No Results"),  "", INDEX('Non-State'!C:C, MATCH($F190, 'Non-State'!B:B, 0)))</f>
        <v/>
      </c>
      <c r="H190" s="66" t="str">
        <f>IF(OR(F190="", F190="No Results"), "", INDEX('Non-State'!E:E, MATCH($G190, 'Non-State'!$C:$C, 0)))</f>
        <v/>
      </c>
      <c r="I190" s="67" t="str">
        <f>IF(OR(G190="", G190="No Results"), "", INDEX('Non-State'!F:F, MATCH($G190, 'Non-State'!$C:$C, 0)))</f>
        <v/>
      </c>
      <c r="J190" s="37" t="str">
        <f>IF(G190="", "", SUMIFS('Non-State'!CH:CH, 'Non-State'!C:C, $G190))</f>
        <v/>
      </c>
      <c r="K190" s="37" t="str">
        <f>IF(G190="", "", SUMIFS('Non-State'!BG:BG, 'Non-State'!$C:$C, $G190))</f>
        <v/>
      </c>
      <c r="L190" s="37" t="str">
        <f>IF(G190="", "",  SUMIFS('Non-State'!BL:BL, 'Non-State'!$C:$C, $G190)+SUMIFS('Non-State'!CA:CA, 'Non-State'!$C:$C, $G190))</f>
        <v/>
      </c>
      <c r="M190" s="37" t="str">
        <f>IF(G190="", "", SUMIFS('Non-State'!BD:BD, 'Non-State'!$C:$C, $G190))</f>
        <v/>
      </c>
      <c r="N190" s="37" t="str">
        <f>IF(G190="", "", SUMIFS('Non-State'!BH:BH, 'Non-State'!$C:$C, $G190))</f>
        <v/>
      </c>
      <c r="O190" s="37" t="str">
        <f>IF(G190="","",SUMIFS('Non-State'!BO:BO,'Non-State'!$C:$C,$G190)-SUMIFS('Non-State'!BN:BN,'Non-State'!$C:$C,$G190))</f>
        <v/>
      </c>
      <c r="P190" s="37" t="str">
        <f>IF(OR(F190="", F190="No Results"),  "", SUMIFS('Non-State'!CF:CF, 'Non-State'!C:C, $G190)+SUMIFS('Non-State'!CG:CG, 'Non-State'!C:C, $G190))</f>
        <v/>
      </c>
      <c r="Q190" s="37" t="str">
        <f>IF(OR(G190="", G190="No Results"),  "", SUMIFS('Non-State'!CG:CG, 'Non-State'!C:C, $G190))</f>
        <v/>
      </c>
    </row>
    <row r="191" spans="6:17" x14ac:dyDescent="0.25">
      <c r="F191" s="66" t="str">
        <f t="shared" si="6"/>
        <v/>
      </c>
      <c r="G191" s="66" t="str">
        <f>IF(OR(F191="", F191="No Results"),  "", INDEX('Non-State'!C:C, MATCH($F191, 'Non-State'!B:B, 0)))</f>
        <v/>
      </c>
      <c r="H191" s="66" t="str">
        <f>IF(OR(F191="", F191="No Results"), "", INDEX('Non-State'!E:E, MATCH($G191, 'Non-State'!$C:$C, 0)))</f>
        <v/>
      </c>
      <c r="I191" s="67" t="str">
        <f>IF(OR(G191="", G191="No Results"), "", INDEX('Non-State'!F:F, MATCH($G191, 'Non-State'!$C:$C, 0)))</f>
        <v/>
      </c>
      <c r="J191" s="37" t="str">
        <f>IF(G191="", "", SUMIFS('Non-State'!CH:CH, 'Non-State'!C:C, $G191))</f>
        <v/>
      </c>
      <c r="K191" s="37" t="str">
        <f>IF(G191="", "", SUMIFS('Non-State'!BG:BG, 'Non-State'!$C:$C, $G191))</f>
        <v/>
      </c>
      <c r="L191" s="37" t="str">
        <f>IF(G191="", "",  SUMIFS('Non-State'!BL:BL, 'Non-State'!$C:$C, $G191)+SUMIFS('Non-State'!CA:CA, 'Non-State'!$C:$C, $G191))</f>
        <v/>
      </c>
      <c r="M191" s="37" t="str">
        <f>IF(G191="", "", SUMIFS('Non-State'!BD:BD, 'Non-State'!$C:$C, $G191))</f>
        <v/>
      </c>
      <c r="N191" s="37" t="str">
        <f>IF(G191="", "", SUMIFS('Non-State'!BH:BH, 'Non-State'!$C:$C, $G191))</f>
        <v/>
      </c>
      <c r="O191" s="37" t="str">
        <f>IF(G191="","",SUMIFS('Non-State'!BO:BO,'Non-State'!$C:$C,$G191)-SUMIFS('Non-State'!BN:BN,'Non-State'!$C:$C,$G191))</f>
        <v/>
      </c>
      <c r="P191" s="37" t="str">
        <f>IF(OR(F191="", F191="No Results"),  "", SUMIFS('Non-State'!CF:CF, 'Non-State'!C:C, $G191)+SUMIFS('Non-State'!CG:CG, 'Non-State'!C:C, $G191))</f>
        <v/>
      </c>
      <c r="Q191" s="37" t="str">
        <f>IF(OR(G191="", G191="No Results"),  "", SUMIFS('Non-State'!CG:CG, 'Non-State'!C:C, $G191))</f>
        <v/>
      </c>
    </row>
    <row r="192" spans="6:17" x14ac:dyDescent="0.25">
      <c r="F192" s="66" t="str">
        <f t="shared" si="6"/>
        <v/>
      </c>
      <c r="G192" s="66" t="str">
        <f>IF(OR(F192="", F192="No Results"),  "", INDEX('Non-State'!C:C, MATCH($F192, 'Non-State'!B:B, 0)))</f>
        <v/>
      </c>
      <c r="H192" s="66" t="str">
        <f>IF(OR(F192="", F192="No Results"), "", INDEX('Non-State'!E:E, MATCH($G192, 'Non-State'!$C:$C, 0)))</f>
        <v/>
      </c>
      <c r="I192" s="67" t="str">
        <f>IF(OR(G192="", G192="No Results"), "", INDEX('Non-State'!F:F, MATCH($G192, 'Non-State'!$C:$C, 0)))</f>
        <v/>
      </c>
      <c r="J192" s="37" t="str">
        <f>IF(G192="", "", SUMIFS('Non-State'!CH:CH, 'Non-State'!C:C, $G192))</f>
        <v/>
      </c>
      <c r="K192" s="37" t="str">
        <f>IF(G192="", "", SUMIFS('Non-State'!BG:BG, 'Non-State'!$C:$C, $G192))</f>
        <v/>
      </c>
      <c r="L192" s="37" t="str">
        <f>IF(G192="", "",  SUMIFS('Non-State'!BL:BL, 'Non-State'!$C:$C, $G192)+SUMIFS('Non-State'!CA:CA, 'Non-State'!$C:$C, $G192))</f>
        <v/>
      </c>
      <c r="M192" s="37" t="str">
        <f>IF(G192="", "", SUMIFS('Non-State'!BD:BD, 'Non-State'!$C:$C, $G192))</f>
        <v/>
      </c>
      <c r="N192" s="37" t="str">
        <f>IF(G192="", "", SUMIFS('Non-State'!BH:BH, 'Non-State'!$C:$C, $G192))</f>
        <v/>
      </c>
      <c r="O192" s="37" t="str">
        <f>IF(G192="","",SUMIFS('Non-State'!BO:BO,'Non-State'!$C:$C,$G192)-SUMIFS('Non-State'!BN:BN,'Non-State'!$C:$C,$G192))</f>
        <v/>
      </c>
      <c r="P192" s="37" t="str">
        <f>IF(OR(F192="", F192="No Results"),  "", SUMIFS('Non-State'!CF:CF, 'Non-State'!C:C, $G192)+SUMIFS('Non-State'!CG:CG, 'Non-State'!C:C, $G192))</f>
        <v/>
      </c>
      <c r="Q192" s="37" t="str">
        <f>IF(OR(G192="", G192="No Results"),  "", SUMIFS('Non-State'!CG:CG, 'Non-State'!C:C, $G192))</f>
        <v/>
      </c>
    </row>
    <row r="193" spans="6:17" x14ac:dyDescent="0.25">
      <c r="F193" s="66" t="str">
        <f t="shared" si="6"/>
        <v/>
      </c>
      <c r="G193" s="66" t="str">
        <f>IF(OR(F193="", F193="No Results"),  "", INDEX('Non-State'!C:C, MATCH($F193, 'Non-State'!B:B, 0)))</f>
        <v/>
      </c>
      <c r="H193" s="66" t="str">
        <f>IF(OR(F193="", F193="No Results"), "", INDEX('Non-State'!E:E, MATCH($G193, 'Non-State'!$C:$C, 0)))</f>
        <v/>
      </c>
      <c r="I193" s="67" t="str">
        <f>IF(OR(G193="", G193="No Results"), "", INDEX('Non-State'!F:F, MATCH($G193, 'Non-State'!$C:$C, 0)))</f>
        <v/>
      </c>
      <c r="J193" s="37" t="str">
        <f>IF(G193="", "", SUMIFS('Non-State'!CH:CH, 'Non-State'!C:C, $G193))</f>
        <v/>
      </c>
      <c r="K193" s="37" t="str">
        <f>IF(G193="", "", SUMIFS('Non-State'!BG:BG, 'Non-State'!$C:$C, $G193))</f>
        <v/>
      </c>
      <c r="L193" s="37" t="str">
        <f>IF(G193="", "",  SUMIFS('Non-State'!BL:BL, 'Non-State'!$C:$C, $G193)+SUMIFS('Non-State'!CA:CA, 'Non-State'!$C:$C, $G193))</f>
        <v/>
      </c>
      <c r="M193" s="37" t="str">
        <f>IF(G193="", "", SUMIFS('Non-State'!BD:BD, 'Non-State'!$C:$C, $G193))</f>
        <v/>
      </c>
      <c r="N193" s="37" t="str">
        <f>IF(G193="", "", SUMIFS('Non-State'!BH:BH, 'Non-State'!$C:$C, $G193))</f>
        <v/>
      </c>
      <c r="O193" s="37" t="str">
        <f>IF(G193="","",SUMIFS('Non-State'!BO:BO,'Non-State'!$C:$C,$G193)-SUMIFS('Non-State'!BN:BN,'Non-State'!$C:$C,$G193))</f>
        <v/>
      </c>
      <c r="P193" s="37" t="str">
        <f>IF(OR(F193="", F193="No Results"),  "", SUMIFS('Non-State'!CF:CF, 'Non-State'!C:C, $G193)+SUMIFS('Non-State'!CG:CG, 'Non-State'!C:C, $G193))</f>
        <v/>
      </c>
      <c r="Q193" s="37" t="str">
        <f>IF(OR(G193="", G193="No Results"),  "", SUMIFS('Non-State'!CG:CG, 'Non-State'!C:C, $G193))</f>
        <v/>
      </c>
    </row>
    <row r="194" spans="6:17" x14ac:dyDescent="0.25">
      <c r="F194" s="66" t="str">
        <f t="shared" si="6"/>
        <v/>
      </c>
      <c r="G194" s="66" t="str">
        <f>IF(OR(F194="", F194="No Results"),  "", INDEX('Non-State'!C:C, MATCH($F194, 'Non-State'!B:B, 0)))</f>
        <v/>
      </c>
      <c r="H194" s="66" t="str">
        <f>IF(OR(F194="", F194="No Results"), "", INDEX('Non-State'!E:E, MATCH($G194, 'Non-State'!$C:$C, 0)))</f>
        <v/>
      </c>
      <c r="I194" s="67" t="str">
        <f>IF(OR(G194="", G194="No Results"), "", INDEX('Non-State'!F:F, MATCH($G194, 'Non-State'!$C:$C, 0)))</f>
        <v/>
      </c>
      <c r="J194" s="37" t="str">
        <f>IF(G194="", "", SUMIFS('Non-State'!CH:CH, 'Non-State'!C:C, $G194))</f>
        <v/>
      </c>
      <c r="K194" s="37" t="str">
        <f>IF(G194="", "", SUMIFS('Non-State'!BG:BG, 'Non-State'!$C:$C, $G194))</f>
        <v/>
      </c>
      <c r="L194" s="37" t="str">
        <f>IF(G194="", "",  SUMIFS('Non-State'!BL:BL, 'Non-State'!$C:$C, $G194)+SUMIFS('Non-State'!CA:CA, 'Non-State'!$C:$C, $G194))</f>
        <v/>
      </c>
      <c r="M194" s="37" t="str">
        <f>IF(G194="", "", SUMIFS('Non-State'!BD:BD, 'Non-State'!$C:$C, $G194))</f>
        <v/>
      </c>
      <c r="N194" s="37" t="str">
        <f>IF(G194="", "", SUMIFS('Non-State'!BH:BH, 'Non-State'!$C:$C, $G194))</f>
        <v/>
      </c>
      <c r="O194" s="37" t="str">
        <f>IF(G194="","",SUMIFS('Non-State'!BO:BO,'Non-State'!$C:$C,$G194)-SUMIFS('Non-State'!BN:BN,'Non-State'!$C:$C,$G194))</f>
        <v/>
      </c>
      <c r="P194" s="37" t="str">
        <f>IF(OR(F194="", F194="No Results"),  "", SUMIFS('Non-State'!CF:CF, 'Non-State'!C:C, $G194)+SUMIFS('Non-State'!CG:CG, 'Non-State'!C:C, $G194))</f>
        <v/>
      </c>
      <c r="Q194" s="37" t="str">
        <f>IF(OR(G194="", G194="No Results"),  "", SUMIFS('Non-State'!CG:CG, 'Non-State'!C:C, $G194))</f>
        <v/>
      </c>
    </row>
    <row r="195" spans="6:17" x14ac:dyDescent="0.25">
      <c r="F195" s="66" t="str">
        <f t="shared" si="6"/>
        <v/>
      </c>
      <c r="G195" s="66" t="str">
        <f>IF(OR(F195="", F195="No Results"),  "", INDEX('Non-State'!C:C, MATCH($F195, 'Non-State'!B:B, 0)))</f>
        <v/>
      </c>
      <c r="H195" s="66" t="str">
        <f>IF(OR(F195="", F195="No Results"), "", INDEX('Non-State'!E:E, MATCH($G195, 'Non-State'!$C:$C, 0)))</f>
        <v/>
      </c>
      <c r="I195" s="67" t="str">
        <f>IF(OR(G195="", G195="No Results"), "", INDEX('Non-State'!F:F, MATCH($G195, 'Non-State'!$C:$C, 0)))</f>
        <v/>
      </c>
      <c r="J195" s="37" t="str">
        <f>IF(G195="", "", SUMIFS('Non-State'!CH:CH, 'Non-State'!C:C, $G195))</f>
        <v/>
      </c>
      <c r="K195" s="37" t="str">
        <f>IF(G195="", "", SUMIFS('Non-State'!BG:BG, 'Non-State'!$C:$C, $G195))</f>
        <v/>
      </c>
      <c r="L195" s="37" t="str">
        <f>IF(G195="", "",  SUMIFS('Non-State'!BL:BL, 'Non-State'!$C:$C, $G195)+SUMIFS('Non-State'!CA:CA, 'Non-State'!$C:$C, $G195))</f>
        <v/>
      </c>
      <c r="M195" s="37" t="str">
        <f>IF(G195="", "", SUMIFS('Non-State'!BD:BD, 'Non-State'!$C:$C, $G195))</f>
        <v/>
      </c>
      <c r="N195" s="37" t="str">
        <f>IF(G195="", "", SUMIFS('Non-State'!BH:BH, 'Non-State'!$C:$C, $G195))</f>
        <v/>
      </c>
      <c r="O195" s="37" t="str">
        <f>IF(G195="","",SUMIFS('Non-State'!BO:BO,'Non-State'!$C:$C,$G195)-SUMIFS('Non-State'!BN:BN,'Non-State'!$C:$C,$G195))</f>
        <v/>
      </c>
      <c r="P195" s="37" t="str">
        <f>IF(OR(F195="", F195="No Results"),  "", SUMIFS('Non-State'!CF:CF, 'Non-State'!C:C, $G195)+SUMIFS('Non-State'!CG:CG, 'Non-State'!C:C, $G195))</f>
        <v/>
      </c>
      <c r="Q195" s="37" t="str">
        <f>IF(OR(G195="", G195="No Results"),  "", SUMIFS('Non-State'!CG:CG, 'Non-State'!C:C, $G195))</f>
        <v/>
      </c>
    </row>
    <row r="196" spans="6:17" x14ac:dyDescent="0.25">
      <c r="F196" s="66" t="str">
        <f t="shared" si="6"/>
        <v/>
      </c>
      <c r="G196" s="66" t="str">
        <f>IF(OR(F196="", F196="No Results"),  "", INDEX('Non-State'!C:C, MATCH($F196, 'Non-State'!B:B, 0)))</f>
        <v/>
      </c>
      <c r="H196" s="66" t="str">
        <f>IF(OR(F196="", F196="No Results"), "", INDEX('Non-State'!E:E, MATCH($G196, 'Non-State'!$C:$C, 0)))</f>
        <v/>
      </c>
      <c r="I196" s="67" t="str">
        <f>IF(OR(G196="", G196="No Results"), "", INDEX('Non-State'!F:F, MATCH($G196, 'Non-State'!$C:$C, 0)))</f>
        <v/>
      </c>
      <c r="J196" s="37" t="str">
        <f>IF(G196="", "", SUMIFS('Non-State'!CH:CH, 'Non-State'!C:C, $G196))</f>
        <v/>
      </c>
      <c r="K196" s="37" t="str">
        <f>IF(G196="", "", SUMIFS('Non-State'!BG:BG, 'Non-State'!$C:$C, $G196))</f>
        <v/>
      </c>
      <c r="L196" s="37" t="str">
        <f>IF(G196="", "",  SUMIFS('Non-State'!BL:BL, 'Non-State'!$C:$C, $G196)+SUMIFS('Non-State'!CA:CA, 'Non-State'!$C:$C, $G196))</f>
        <v/>
      </c>
      <c r="M196" s="37" t="str">
        <f>IF(G196="", "", SUMIFS('Non-State'!BD:BD, 'Non-State'!$C:$C, $G196))</f>
        <v/>
      </c>
      <c r="N196" s="37" t="str">
        <f>IF(G196="", "", SUMIFS('Non-State'!BH:BH, 'Non-State'!$C:$C, $G196))</f>
        <v/>
      </c>
      <c r="O196" s="37" t="str">
        <f>IF(G196="","",SUMIFS('Non-State'!BO:BO,'Non-State'!$C:$C,$G196)-SUMIFS('Non-State'!BN:BN,'Non-State'!$C:$C,$G196))</f>
        <v/>
      </c>
      <c r="P196" s="37" t="str">
        <f>IF(OR(F196="", F196="No Results"),  "", SUMIFS('Non-State'!CF:CF, 'Non-State'!C:C, $G196)+SUMIFS('Non-State'!CG:CG, 'Non-State'!C:C, $G196))</f>
        <v/>
      </c>
      <c r="Q196" s="37" t="str">
        <f>IF(OR(G196="", G196="No Results"),  "", SUMIFS('Non-State'!CG:CG, 'Non-State'!C:C, $G196))</f>
        <v/>
      </c>
    </row>
    <row r="197" spans="6:17" x14ac:dyDescent="0.25">
      <c r="F197" s="66" t="str">
        <f t="shared" si="6"/>
        <v/>
      </c>
      <c r="G197" s="66" t="str">
        <f>IF(OR(F197="", F197="No Results"),  "", INDEX('Non-State'!C:C, MATCH($F197, 'Non-State'!B:B, 0)))</f>
        <v/>
      </c>
      <c r="H197" s="66" t="str">
        <f>IF(OR(F197="", F197="No Results"), "", INDEX('Non-State'!E:E, MATCH($G197, 'Non-State'!$C:$C, 0)))</f>
        <v/>
      </c>
      <c r="I197" s="67" t="str">
        <f>IF(OR(G197="", G197="No Results"), "", INDEX('Non-State'!F:F, MATCH($G197, 'Non-State'!$C:$C, 0)))</f>
        <v/>
      </c>
      <c r="J197" s="37" t="str">
        <f>IF(G197="", "", SUMIFS('Non-State'!CH:CH, 'Non-State'!C:C, $G197))</f>
        <v/>
      </c>
      <c r="K197" s="37" t="str">
        <f>IF(G197="", "", SUMIFS('Non-State'!BG:BG, 'Non-State'!$C:$C, $G197))</f>
        <v/>
      </c>
      <c r="L197" s="37" t="str">
        <f>IF(G197="", "",  SUMIFS('Non-State'!BL:BL, 'Non-State'!$C:$C, $G197)+SUMIFS('Non-State'!CA:CA, 'Non-State'!$C:$C, $G197))</f>
        <v/>
      </c>
      <c r="M197" s="37" t="str">
        <f>IF(G197="", "", SUMIFS('Non-State'!BD:BD, 'Non-State'!$C:$C, $G197))</f>
        <v/>
      </c>
      <c r="N197" s="37" t="str">
        <f>IF(G197="", "", SUMIFS('Non-State'!BH:BH, 'Non-State'!$C:$C, $G197))</f>
        <v/>
      </c>
      <c r="O197" s="37" t="str">
        <f>IF(G197="","",SUMIFS('Non-State'!BO:BO,'Non-State'!$C:$C,$G197)-SUMIFS('Non-State'!BN:BN,'Non-State'!$C:$C,$G197))</f>
        <v/>
      </c>
      <c r="P197" s="37" t="str">
        <f>IF(OR(F197="", F197="No Results"),  "", SUMIFS('Non-State'!CF:CF, 'Non-State'!C:C, $G197)+SUMIFS('Non-State'!CG:CG, 'Non-State'!C:C, $G197))</f>
        <v/>
      </c>
      <c r="Q197" s="37" t="str">
        <f>IF(OR(G197="", G197="No Results"),  "", SUMIFS('Non-State'!CG:CG, 'Non-State'!C:C, $G197))</f>
        <v/>
      </c>
    </row>
    <row r="198" spans="6:17" x14ac:dyDescent="0.25">
      <c r="F198" s="66" t="str">
        <f t="shared" si="6"/>
        <v/>
      </c>
      <c r="G198" s="66" t="str">
        <f>IF(OR(F198="", F198="No Results"),  "", INDEX('Non-State'!C:C, MATCH($F198, 'Non-State'!B:B, 0)))</f>
        <v/>
      </c>
      <c r="H198" s="66" t="str">
        <f>IF(OR(F198="", F198="No Results"), "", INDEX('Non-State'!E:E, MATCH($G198, 'Non-State'!$C:$C, 0)))</f>
        <v/>
      </c>
      <c r="I198" s="67" t="str">
        <f>IF(OR(G198="", G198="No Results"), "", INDEX('Non-State'!F:F, MATCH($G198, 'Non-State'!$C:$C, 0)))</f>
        <v/>
      </c>
      <c r="J198" s="37" t="str">
        <f>IF(G198="", "", SUMIFS('Non-State'!CH:CH, 'Non-State'!C:C, $G198))</f>
        <v/>
      </c>
      <c r="K198" s="37" t="str">
        <f>IF(G198="", "", SUMIFS('Non-State'!BG:BG, 'Non-State'!$C:$C, $G198))</f>
        <v/>
      </c>
      <c r="L198" s="37" t="str">
        <f>IF(G198="", "",  SUMIFS('Non-State'!BL:BL, 'Non-State'!$C:$C, $G198)+SUMIFS('Non-State'!CA:CA, 'Non-State'!$C:$C, $G198))</f>
        <v/>
      </c>
      <c r="M198" s="37" t="str">
        <f>IF(G198="", "", SUMIFS('Non-State'!BD:BD, 'Non-State'!$C:$C, $G198))</f>
        <v/>
      </c>
      <c r="N198" s="37" t="str">
        <f>IF(G198="", "", SUMIFS('Non-State'!BH:BH, 'Non-State'!$C:$C, $G198))</f>
        <v/>
      </c>
      <c r="O198" s="37" t="str">
        <f>IF(G198="","",SUMIFS('Non-State'!BO:BO,'Non-State'!$C:$C,$G198)-SUMIFS('Non-State'!BN:BN,'Non-State'!$C:$C,$G198))</f>
        <v/>
      </c>
      <c r="P198" s="37" t="str">
        <f>IF(OR(F198="", F198="No Results"),  "", SUMIFS('Non-State'!CF:CF, 'Non-State'!C:C, $G198)+SUMIFS('Non-State'!CG:CG, 'Non-State'!C:C, $G198))</f>
        <v/>
      </c>
      <c r="Q198" s="37" t="str">
        <f>IF(OR(G198="", G198="No Results"),  "", SUMIFS('Non-State'!CG:CG, 'Non-State'!C:C, $G198))</f>
        <v/>
      </c>
    </row>
    <row r="199" spans="6:17" x14ac:dyDescent="0.25">
      <c r="F199" s="66" t="str">
        <f t="shared" si="6"/>
        <v/>
      </c>
      <c r="G199" s="66" t="str">
        <f>IF(OR(F199="", F199="No Results"),  "", INDEX('Non-State'!C:C, MATCH($F199, 'Non-State'!B:B, 0)))</f>
        <v/>
      </c>
      <c r="H199" s="66" t="str">
        <f>IF(OR(F199="", F199="No Results"), "", INDEX('Non-State'!E:E, MATCH($G199, 'Non-State'!$C:$C, 0)))</f>
        <v/>
      </c>
      <c r="I199" s="67" t="str">
        <f>IF(OR(G199="", G199="No Results"), "", INDEX('Non-State'!F:F, MATCH($G199, 'Non-State'!$C:$C, 0)))</f>
        <v/>
      </c>
      <c r="J199" s="37" t="str">
        <f>IF(G199="", "", SUMIFS('Non-State'!CH:CH, 'Non-State'!C:C, $G199))</f>
        <v/>
      </c>
      <c r="K199" s="37" t="str">
        <f>IF(G199="", "", SUMIFS('Non-State'!BG:BG, 'Non-State'!$C:$C, $G199))</f>
        <v/>
      </c>
      <c r="L199" s="37" t="str">
        <f>IF(G199="", "",  SUMIFS('Non-State'!BL:BL, 'Non-State'!$C:$C, $G199)+SUMIFS('Non-State'!CA:CA, 'Non-State'!$C:$C, $G199))</f>
        <v/>
      </c>
      <c r="M199" s="37" t="str">
        <f>IF(G199="", "", SUMIFS('Non-State'!BD:BD, 'Non-State'!$C:$C, $G199))</f>
        <v/>
      </c>
      <c r="N199" s="37" t="str">
        <f>IF(G199="", "", SUMIFS('Non-State'!BH:BH, 'Non-State'!$C:$C, $G199))</f>
        <v/>
      </c>
      <c r="O199" s="37" t="str">
        <f>IF(G199="","",SUMIFS('Non-State'!BO:BO,'Non-State'!$C:$C,$G199)-SUMIFS('Non-State'!BN:BN,'Non-State'!$C:$C,$G199))</f>
        <v/>
      </c>
      <c r="P199" s="37" t="str">
        <f>IF(OR(F199="", F199="No Results"),  "", SUMIFS('Non-State'!CF:CF, 'Non-State'!C:C, $G199)+SUMIFS('Non-State'!CG:CG, 'Non-State'!C:C, $G199))</f>
        <v/>
      </c>
      <c r="Q199" s="37" t="str">
        <f>IF(OR(G199="", G199="No Results"),  "", SUMIFS('Non-State'!CG:CG, 'Non-State'!C:C, $G199))</f>
        <v/>
      </c>
    </row>
    <row r="200" spans="6:17" x14ac:dyDescent="0.25">
      <c r="F200" s="66" t="str">
        <f t="shared" si="6"/>
        <v/>
      </c>
      <c r="G200" s="66" t="str">
        <f>IF(OR(F200="", F200="No Results"),  "", INDEX('Non-State'!C:C, MATCH($F200, 'Non-State'!B:B, 0)))</f>
        <v/>
      </c>
      <c r="H200" s="66" t="str">
        <f>IF(OR(F200="", F200="No Results"), "", INDEX('Non-State'!E:E, MATCH($G200, 'Non-State'!$C:$C, 0)))</f>
        <v/>
      </c>
      <c r="I200" s="67" t="str">
        <f>IF(OR(G200="", G200="No Results"), "", INDEX('Non-State'!F:F, MATCH($G200, 'Non-State'!$C:$C, 0)))</f>
        <v/>
      </c>
      <c r="J200" s="37" t="str">
        <f>IF(G200="", "", SUMIFS('Non-State'!CH:CH, 'Non-State'!C:C, $G200))</f>
        <v/>
      </c>
      <c r="K200" s="37" t="str">
        <f>IF(G200="", "", SUMIFS('Non-State'!BG:BG, 'Non-State'!$C:$C, $G200))</f>
        <v/>
      </c>
      <c r="L200" s="37" t="str">
        <f>IF(G200="", "",  SUMIFS('Non-State'!BL:BL, 'Non-State'!$C:$C, $G200)+SUMIFS('Non-State'!CA:CA, 'Non-State'!$C:$C, $G200))</f>
        <v/>
      </c>
      <c r="M200" s="37" t="str">
        <f>IF(G200="", "", SUMIFS('Non-State'!BD:BD, 'Non-State'!$C:$C, $G200))</f>
        <v/>
      </c>
      <c r="N200" s="37" t="str">
        <f>IF(G200="", "", SUMIFS('Non-State'!BH:BH, 'Non-State'!$C:$C, $G200))</f>
        <v/>
      </c>
      <c r="O200" s="37" t="str">
        <f>IF(G200="","",SUMIFS('Non-State'!BO:BO,'Non-State'!$C:$C,$G200)-SUMIFS('Non-State'!BN:BN,'Non-State'!$C:$C,$G200))</f>
        <v/>
      </c>
      <c r="P200" s="37" t="str">
        <f>IF(OR(F200="", F200="No Results"),  "", SUMIFS('Non-State'!CF:CF, 'Non-State'!C:C, $G200)+SUMIFS('Non-State'!CG:CG, 'Non-State'!C:C, $G200))</f>
        <v/>
      </c>
      <c r="Q200" s="37" t="str">
        <f>IF(OR(G200="", G200="No Results"),  "", SUMIFS('Non-State'!CG:CG, 'Non-State'!C:C, $G200))</f>
        <v/>
      </c>
    </row>
    <row r="201" spans="6:17" x14ac:dyDescent="0.25">
      <c r="F201" s="66" t="str">
        <f t="shared" si="6"/>
        <v/>
      </c>
      <c r="G201" s="66" t="str">
        <f>IF(OR(F201="", F201="No Results"),  "", INDEX('Non-State'!C:C, MATCH($F201, 'Non-State'!B:B, 0)))</f>
        <v/>
      </c>
      <c r="H201" s="66" t="str">
        <f>IF(OR(F201="", F201="No Results"), "", INDEX('Non-State'!E:E, MATCH($G201, 'Non-State'!$C:$C, 0)))</f>
        <v/>
      </c>
      <c r="I201" s="67" t="str">
        <f>IF(OR(G201="", G201="No Results"), "", INDEX('Non-State'!F:F, MATCH($G201, 'Non-State'!$C:$C, 0)))</f>
        <v/>
      </c>
      <c r="J201" s="37" t="str">
        <f>IF(G201="", "", SUMIFS('Non-State'!CH:CH, 'Non-State'!C:C, $G201))</f>
        <v/>
      </c>
      <c r="K201" s="37" t="str">
        <f>IF(G201="", "", SUMIFS('Non-State'!BG:BG, 'Non-State'!$C:$C, $G201))</f>
        <v/>
      </c>
      <c r="L201" s="37" t="str">
        <f>IF(G201="", "",  SUMIFS('Non-State'!BL:BL, 'Non-State'!$C:$C, $G201)+SUMIFS('Non-State'!CA:CA, 'Non-State'!$C:$C, $G201))</f>
        <v/>
      </c>
      <c r="M201" s="37" t="str">
        <f>IF(G201="", "", SUMIFS('Non-State'!BD:BD, 'Non-State'!$C:$C, $G201))</f>
        <v/>
      </c>
      <c r="N201" s="37" t="str">
        <f>IF(G201="", "", SUMIFS('Non-State'!BH:BH, 'Non-State'!$C:$C, $G201))</f>
        <v/>
      </c>
      <c r="O201" s="37" t="str">
        <f>IF(G201="","",SUMIFS('Non-State'!BO:BO,'Non-State'!$C:$C,$G201)-SUMIFS('Non-State'!BN:BN,'Non-State'!$C:$C,$G201))</f>
        <v/>
      </c>
      <c r="P201" s="37" t="str">
        <f>IF(OR(F201="", F201="No Results"),  "", SUMIFS('Non-State'!CF:CF, 'Non-State'!C:C, $G201)+SUMIFS('Non-State'!CG:CG, 'Non-State'!C:C, $G201))</f>
        <v/>
      </c>
      <c r="Q201" s="37" t="str">
        <f>IF(OR(G201="", G201="No Results"),  "", SUMIFS('Non-State'!CG:CG, 'Non-State'!C:C, $G201))</f>
        <v/>
      </c>
    </row>
    <row r="202" spans="6:17" x14ac:dyDescent="0.25">
      <c r="F202" s="66" t="str">
        <f t="shared" si="6"/>
        <v/>
      </c>
      <c r="G202" s="66" t="str">
        <f>IF(OR(F202="", F202="No Results"),  "", INDEX('Non-State'!C:C, MATCH($F202, 'Non-State'!B:B, 0)))</f>
        <v/>
      </c>
      <c r="H202" s="66" t="str">
        <f>IF(OR(F202="", F202="No Results"), "", INDEX('Non-State'!E:E, MATCH($G202, 'Non-State'!$C:$C, 0)))</f>
        <v/>
      </c>
      <c r="I202" s="67" t="str">
        <f>IF(OR(G202="", G202="No Results"), "", INDEX('Non-State'!F:F, MATCH($G202, 'Non-State'!$C:$C, 0)))</f>
        <v/>
      </c>
      <c r="J202" s="37" t="str">
        <f>IF(G202="", "", SUMIFS('Non-State'!CH:CH, 'Non-State'!C:C, $G202))</f>
        <v/>
      </c>
      <c r="K202" s="37" t="str">
        <f>IF(G202="", "", SUMIFS('Non-State'!BG:BG, 'Non-State'!$C:$C, $G202))</f>
        <v/>
      </c>
      <c r="L202" s="37" t="str">
        <f>IF(G202="", "",  SUMIFS('Non-State'!BL:BL, 'Non-State'!$C:$C, $G202)+SUMIFS('Non-State'!CA:CA, 'Non-State'!$C:$C, $G202))</f>
        <v/>
      </c>
      <c r="M202" s="37" t="str">
        <f>IF(G202="", "", SUMIFS('Non-State'!BD:BD, 'Non-State'!$C:$C, $G202))</f>
        <v/>
      </c>
      <c r="N202" s="37" t="str">
        <f>IF(G202="", "", SUMIFS('Non-State'!BH:BH, 'Non-State'!$C:$C, $G202))</f>
        <v/>
      </c>
      <c r="O202" s="37" t="str">
        <f>IF(G202="","",SUMIFS('Non-State'!BO:BO,'Non-State'!$C:$C,$G202)-SUMIFS('Non-State'!BN:BN,'Non-State'!$C:$C,$G202))</f>
        <v/>
      </c>
      <c r="P202" s="37" t="str">
        <f>IF(OR(F202="", F202="No Results"),  "", SUMIFS('Non-State'!CF:CF, 'Non-State'!C:C, $G202)+SUMIFS('Non-State'!CG:CG, 'Non-State'!C:C, $G202))</f>
        <v/>
      </c>
      <c r="Q202" s="37" t="str">
        <f>IF(OR(G202="", G202="No Results"),  "", SUMIFS('Non-State'!CG:CG, 'Non-State'!C:C, $G202))</f>
        <v/>
      </c>
    </row>
    <row r="203" spans="6:17" x14ac:dyDescent="0.25">
      <c r="F203" s="66" t="str">
        <f t="shared" si="6"/>
        <v/>
      </c>
      <c r="G203" s="66" t="str">
        <f>IF(OR(F203="", F203="No Results"),  "", INDEX('Non-State'!C:C, MATCH($F203, 'Non-State'!B:B, 0)))</f>
        <v/>
      </c>
      <c r="H203" s="66" t="str">
        <f>IF(OR(F203="", F203="No Results"), "", INDEX('Non-State'!E:E, MATCH($G203, 'Non-State'!$C:$C, 0)))</f>
        <v/>
      </c>
      <c r="I203" s="67" t="str">
        <f>IF(OR(G203="", G203="No Results"), "", INDEX('Non-State'!F:F, MATCH($G203, 'Non-State'!$C:$C, 0)))</f>
        <v/>
      </c>
      <c r="J203" s="37" t="str">
        <f>IF(G203="", "", SUMIFS('Non-State'!CH:CH, 'Non-State'!C:C, $G203))</f>
        <v/>
      </c>
      <c r="K203" s="37" t="str">
        <f>IF(G203="", "", SUMIFS('Non-State'!BG:BG, 'Non-State'!$C:$C, $G203))</f>
        <v/>
      </c>
      <c r="L203" s="37" t="str">
        <f>IF(G203="", "",  SUMIFS('Non-State'!BL:BL, 'Non-State'!$C:$C, $G203)+SUMIFS('Non-State'!CA:CA, 'Non-State'!$C:$C, $G203))</f>
        <v/>
      </c>
      <c r="M203" s="37" t="str">
        <f>IF(G203="", "", SUMIFS('Non-State'!BD:BD, 'Non-State'!$C:$C, $G203))</f>
        <v/>
      </c>
      <c r="N203" s="37" t="str">
        <f>IF(G203="", "", SUMIFS('Non-State'!BH:BH, 'Non-State'!$C:$C, $G203))</f>
        <v/>
      </c>
      <c r="O203" s="37" t="str">
        <f>IF(G203="","",SUMIFS('Non-State'!BO:BO,'Non-State'!$C:$C,$G203)-SUMIFS('Non-State'!BN:BN,'Non-State'!$C:$C,$G203))</f>
        <v/>
      </c>
      <c r="P203" s="37" t="str">
        <f>IF(OR(F203="", F203="No Results"),  "", SUMIFS('Non-State'!CF:CF, 'Non-State'!C:C, $G203)+SUMIFS('Non-State'!CG:CG, 'Non-State'!C:C, $G203))</f>
        <v/>
      </c>
      <c r="Q203" s="37" t="str">
        <f>IF(OR(G203="", G203="No Results"),  "", SUMIFS('Non-State'!CG:CG, 'Non-State'!C:C, $G203))</f>
        <v/>
      </c>
    </row>
    <row r="204" spans="6:17" x14ac:dyDescent="0.25">
      <c r="F204" s="66" t="str">
        <f t="shared" si="6"/>
        <v/>
      </c>
      <c r="G204" s="66" t="str">
        <f>IF(OR(F204="", F204="No Results"),  "", INDEX('Non-State'!C:C, MATCH($F204, 'Non-State'!B:B, 0)))</f>
        <v/>
      </c>
      <c r="H204" s="66" t="str">
        <f>IF(OR(F204="", F204="No Results"), "", INDEX('Non-State'!E:E, MATCH($G204, 'Non-State'!$C:$C, 0)))</f>
        <v/>
      </c>
      <c r="I204" s="67" t="str">
        <f>IF(OR(G204="", G204="No Results"), "", INDEX('Non-State'!F:F, MATCH($G204, 'Non-State'!$C:$C, 0)))</f>
        <v/>
      </c>
      <c r="J204" s="37" t="str">
        <f>IF(G204="", "", SUMIFS('Non-State'!CH:CH, 'Non-State'!C:C, $G204))</f>
        <v/>
      </c>
      <c r="K204" s="37" t="str">
        <f>IF(G204="", "", SUMIFS('Non-State'!BG:BG, 'Non-State'!$C:$C, $G204))</f>
        <v/>
      </c>
      <c r="L204" s="37" t="str">
        <f>IF(G204="", "",  SUMIFS('Non-State'!BL:BL, 'Non-State'!$C:$C, $G204)+SUMIFS('Non-State'!CA:CA, 'Non-State'!$C:$C, $G204))</f>
        <v/>
      </c>
      <c r="M204" s="37" t="str">
        <f>IF(G204="", "", SUMIFS('Non-State'!BD:BD, 'Non-State'!$C:$C, $G204))</f>
        <v/>
      </c>
      <c r="N204" s="37" t="str">
        <f>IF(G204="", "", SUMIFS('Non-State'!BH:BH, 'Non-State'!$C:$C, $G204))</f>
        <v/>
      </c>
      <c r="O204" s="37" t="str">
        <f>IF(G204="","",SUMIFS('Non-State'!BO:BO,'Non-State'!$C:$C,$G204)-SUMIFS('Non-State'!BN:BN,'Non-State'!$C:$C,$G204))</f>
        <v/>
      </c>
      <c r="P204" s="37" t="str">
        <f>IF(OR(F204="", F204="No Results"),  "", SUMIFS('Non-State'!CF:CF, 'Non-State'!C:C, $G204)+SUMIFS('Non-State'!CG:CG, 'Non-State'!C:C, $G204))</f>
        <v/>
      </c>
      <c r="Q204" s="37" t="str">
        <f>IF(OR(G204="", G204="No Results"),  "", SUMIFS('Non-State'!CG:CG, 'Non-State'!C:C, $G204))</f>
        <v/>
      </c>
    </row>
    <row r="205" spans="6:17" x14ac:dyDescent="0.25">
      <c r="F205" s="66" t="str">
        <f t="shared" si="6"/>
        <v/>
      </c>
      <c r="G205" s="66" t="str">
        <f>IF(OR(F205="", F205="No Results"),  "", INDEX('Non-State'!C:C, MATCH($F205, 'Non-State'!B:B, 0)))</f>
        <v/>
      </c>
      <c r="H205" s="66" t="str">
        <f>IF(OR(F205="", F205="No Results"), "", INDEX('Non-State'!E:E, MATCH($G205, 'Non-State'!$C:$C, 0)))</f>
        <v/>
      </c>
      <c r="I205" s="67" t="str">
        <f>IF(OR(G205="", G205="No Results"), "", INDEX('Non-State'!F:F, MATCH($G205, 'Non-State'!$C:$C, 0)))</f>
        <v/>
      </c>
      <c r="J205" s="37" t="str">
        <f>IF(G205="", "", SUMIFS('Non-State'!CH:CH, 'Non-State'!C:C, $G205))</f>
        <v/>
      </c>
      <c r="K205" s="37" t="str">
        <f>IF(G205="", "", SUMIFS('Non-State'!BG:BG, 'Non-State'!$C:$C, $G205))</f>
        <v/>
      </c>
      <c r="L205" s="37" t="str">
        <f>IF(G205="", "",  SUMIFS('Non-State'!BL:BL, 'Non-State'!$C:$C, $G205)+SUMIFS('Non-State'!CA:CA, 'Non-State'!$C:$C, $G205))</f>
        <v/>
      </c>
      <c r="M205" s="37" t="str">
        <f>IF(G205="", "", SUMIFS('Non-State'!BD:BD, 'Non-State'!$C:$C, $G205))</f>
        <v/>
      </c>
      <c r="N205" s="37" t="str">
        <f>IF(G205="", "", SUMIFS('Non-State'!BH:BH, 'Non-State'!$C:$C, $G205))</f>
        <v/>
      </c>
      <c r="O205" s="37" t="str">
        <f>IF(G205="","",SUMIFS('Non-State'!BO:BO,'Non-State'!$C:$C,$G205)-SUMIFS('Non-State'!BN:BN,'Non-State'!$C:$C,$G205))</f>
        <v/>
      </c>
      <c r="P205" s="37" t="str">
        <f>IF(OR(F205="", F205="No Results"),  "", SUMIFS('Non-State'!CF:CF, 'Non-State'!C:C, $G205)+SUMIFS('Non-State'!CG:CG, 'Non-State'!C:C, $G205))</f>
        <v/>
      </c>
      <c r="Q205" s="37" t="str">
        <f>IF(OR(G205="", G205="No Results"),  "", SUMIFS('Non-State'!CG:CG, 'Non-State'!C:C, $G205))</f>
        <v/>
      </c>
    </row>
    <row r="206" spans="6:17" x14ac:dyDescent="0.25">
      <c r="F206" s="66" t="str">
        <f t="shared" si="6"/>
        <v/>
      </c>
      <c r="G206" s="66" t="str">
        <f>IF(OR(F206="", F206="No Results"),  "", INDEX('Non-State'!C:C, MATCH($F206, 'Non-State'!B:B, 0)))</f>
        <v/>
      </c>
      <c r="H206" s="66" t="str">
        <f>IF(OR(F206="", F206="No Results"), "", INDEX('Non-State'!E:E, MATCH($G206, 'Non-State'!$C:$C, 0)))</f>
        <v/>
      </c>
      <c r="I206" s="67" t="str">
        <f>IF(OR(G206="", G206="No Results"), "", INDEX('Non-State'!F:F, MATCH($G206, 'Non-State'!$C:$C, 0)))</f>
        <v/>
      </c>
      <c r="J206" s="37" t="str">
        <f>IF(G206="", "", SUMIFS('Non-State'!CH:CH, 'Non-State'!C:C, $G206))</f>
        <v/>
      </c>
      <c r="K206" s="37" t="str">
        <f>IF(G206="", "", SUMIFS('Non-State'!BG:BG, 'Non-State'!$C:$C, $G206))</f>
        <v/>
      </c>
      <c r="L206" s="37" t="str">
        <f>IF(G206="", "",  SUMIFS('Non-State'!BL:BL, 'Non-State'!$C:$C, $G206)+SUMIFS('Non-State'!CA:CA, 'Non-State'!$C:$C, $G206))</f>
        <v/>
      </c>
      <c r="M206" s="37" t="str">
        <f>IF(G206="", "", SUMIFS('Non-State'!BD:BD, 'Non-State'!$C:$C, $G206))</f>
        <v/>
      </c>
      <c r="N206" s="37" t="str">
        <f>IF(G206="", "", SUMIFS('Non-State'!BH:BH, 'Non-State'!$C:$C, $G206))</f>
        <v/>
      </c>
      <c r="O206" s="37" t="str">
        <f>IF(G206="","",SUMIFS('Non-State'!BO:BO,'Non-State'!$C:$C,$G206)-SUMIFS('Non-State'!BN:BN,'Non-State'!$C:$C,$G206))</f>
        <v/>
      </c>
      <c r="P206" s="37" t="str">
        <f>IF(OR(F206="", F206="No Results"),  "", SUMIFS('Non-State'!CF:CF, 'Non-State'!C:C, $G206)+SUMIFS('Non-State'!CG:CG, 'Non-State'!C:C, $G206))</f>
        <v/>
      </c>
      <c r="Q206" s="37" t="str">
        <f>IF(OR(G206="", G206="No Results"),  "", SUMIFS('Non-State'!CG:CG, 'Non-State'!C:C, $G206))</f>
        <v/>
      </c>
    </row>
    <row r="207" spans="6:17" x14ac:dyDescent="0.25">
      <c r="F207" s="66" t="str">
        <f t="shared" si="6"/>
        <v/>
      </c>
      <c r="G207" s="66" t="str">
        <f>IF(OR(F207="", F207="No Results"),  "", INDEX('Non-State'!C:C, MATCH($F207, 'Non-State'!B:B, 0)))</f>
        <v/>
      </c>
      <c r="H207" s="66" t="str">
        <f>IF(OR(F207="", F207="No Results"), "", INDEX('Non-State'!E:E, MATCH($G207, 'Non-State'!$C:$C, 0)))</f>
        <v/>
      </c>
      <c r="I207" s="67" t="str">
        <f>IF(OR(G207="", G207="No Results"), "", INDEX('Non-State'!F:F, MATCH($G207, 'Non-State'!$C:$C, 0)))</f>
        <v/>
      </c>
      <c r="J207" s="37" t="str">
        <f>IF(G207="", "", SUMIFS('Non-State'!CH:CH, 'Non-State'!C:C, $G207))</f>
        <v/>
      </c>
      <c r="K207" s="37" t="str">
        <f>IF(G207="", "", SUMIFS('Non-State'!BG:BG, 'Non-State'!$C:$C, $G207))</f>
        <v/>
      </c>
      <c r="L207" s="37" t="str">
        <f>IF(G207="", "",  SUMIFS('Non-State'!BL:BL, 'Non-State'!$C:$C, $G207)+SUMIFS('Non-State'!CA:CA, 'Non-State'!$C:$C, $G207))</f>
        <v/>
      </c>
      <c r="M207" s="37" t="str">
        <f>IF(G207="", "", SUMIFS('Non-State'!BD:BD, 'Non-State'!$C:$C, $G207))</f>
        <v/>
      </c>
      <c r="N207" s="37" t="str">
        <f>IF(G207="", "", SUMIFS('Non-State'!BH:BH, 'Non-State'!$C:$C, $G207))</f>
        <v/>
      </c>
      <c r="O207" s="37" t="str">
        <f>IF(G207="","",SUMIFS('Non-State'!BO:BO,'Non-State'!$C:$C,$G207)-SUMIFS('Non-State'!BN:BN,'Non-State'!$C:$C,$G207))</f>
        <v/>
      </c>
      <c r="P207" s="37" t="str">
        <f>IF(OR(F207="", F207="No Results"),  "", SUMIFS('Non-State'!CF:CF, 'Non-State'!C:C, $G207)+SUMIFS('Non-State'!CG:CG, 'Non-State'!C:C, $G207))</f>
        <v/>
      </c>
      <c r="Q207" s="37" t="str">
        <f>IF(OR(G207="", G207="No Results"),  "", SUMIFS('Non-State'!CG:CG, 'Non-State'!C:C, $G207))</f>
        <v/>
      </c>
    </row>
    <row r="208" spans="6:17" x14ac:dyDescent="0.25">
      <c r="F208" s="66" t="str">
        <f t="shared" si="6"/>
        <v/>
      </c>
      <c r="G208" s="66" t="str">
        <f>IF(OR(F208="", F208="No Results"),  "", INDEX('Non-State'!C:C, MATCH($F208, 'Non-State'!B:B, 0)))</f>
        <v/>
      </c>
      <c r="H208" s="66" t="str">
        <f>IF(OR(F208="", F208="No Results"), "", INDEX('Non-State'!E:E, MATCH($G208, 'Non-State'!$C:$C, 0)))</f>
        <v/>
      </c>
      <c r="I208" s="67" t="str">
        <f>IF(OR(G208="", G208="No Results"), "", INDEX('Non-State'!F:F, MATCH($G208, 'Non-State'!$C:$C, 0)))</f>
        <v/>
      </c>
      <c r="J208" s="37" t="str">
        <f>IF(G208="", "", SUMIFS('Non-State'!CH:CH, 'Non-State'!C:C, $G208))</f>
        <v/>
      </c>
      <c r="K208" s="37" t="str">
        <f>IF(G208="", "", SUMIFS('Non-State'!BG:BG, 'Non-State'!$C:$C, $G208))</f>
        <v/>
      </c>
      <c r="L208" s="37" t="str">
        <f>IF(G208="", "",  SUMIFS('Non-State'!BL:BL, 'Non-State'!$C:$C, $G208)+SUMIFS('Non-State'!CA:CA, 'Non-State'!$C:$C, $G208))</f>
        <v/>
      </c>
      <c r="M208" s="37" t="str">
        <f>IF(G208="", "", SUMIFS('Non-State'!BD:BD, 'Non-State'!$C:$C, $G208))</f>
        <v/>
      </c>
      <c r="N208" s="37" t="str">
        <f>IF(G208="", "", SUMIFS('Non-State'!BH:BH, 'Non-State'!$C:$C, $G208))</f>
        <v/>
      </c>
      <c r="O208" s="37" t="str">
        <f>IF(G208="","",SUMIFS('Non-State'!BO:BO,'Non-State'!$C:$C,$G208)-SUMIFS('Non-State'!BN:BN,'Non-State'!$C:$C,$G208))</f>
        <v/>
      </c>
      <c r="P208" s="37" t="str">
        <f>IF(OR(F208="", F208="No Results"),  "", SUMIFS('Non-State'!CF:CF, 'Non-State'!C:C, $G208)+SUMIFS('Non-State'!CG:CG, 'Non-State'!C:C, $G208))</f>
        <v/>
      </c>
      <c r="Q208" s="37" t="str">
        <f>IF(OR(G208="", G208="No Results"),  "", SUMIFS('Non-State'!CG:CG, 'Non-State'!C:C, $G208))</f>
        <v/>
      </c>
    </row>
    <row r="209" spans="6:17" x14ac:dyDescent="0.25">
      <c r="F209" s="66" t="str">
        <f t="shared" si="6"/>
        <v/>
      </c>
      <c r="G209" s="66" t="str">
        <f>IF(OR(F209="", F209="No Results"),  "", INDEX('Non-State'!C:C, MATCH($F209, 'Non-State'!B:B, 0)))</f>
        <v/>
      </c>
      <c r="H209" s="66" t="str">
        <f>IF(OR(F209="", F209="No Results"), "", INDEX('Non-State'!E:E, MATCH($G209, 'Non-State'!$C:$C, 0)))</f>
        <v/>
      </c>
      <c r="I209" s="67" t="str">
        <f>IF(OR(G209="", G209="No Results"), "", INDEX('Non-State'!F:F, MATCH($G209, 'Non-State'!$C:$C, 0)))</f>
        <v/>
      </c>
      <c r="J209" s="37" t="str">
        <f>IF(G209="", "", SUMIFS('Non-State'!CH:CH, 'Non-State'!C:C, $G209))</f>
        <v/>
      </c>
      <c r="K209" s="37" t="str">
        <f>IF(G209="", "", SUMIFS('Non-State'!BG:BG, 'Non-State'!$C:$C, $G209))</f>
        <v/>
      </c>
      <c r="L209" s="37" t="str">
        <f>IF(G209="", "",  SUMIFS('Non-State'!BL:BL, 'Non-State'!$C:$C, $G209)+SUMIFS('Non-State'!CA:CA, 'Non-State'!$C:$C, $G209))</f>
        <v/>
      </c>
      <c r="M209" s="37" t="str">
        <f>IF(G209="", "", SUMIFS('Non-State'!BD:BD, 'Non-State'!$C:$C, $G209))</f>
        <v/>
      </c>
      <c r="N209" s="37" t="str">
        <f>IF(G209="", "", SUMIFS('Non-State'!BH:BH, 'Non-State'!$C:$C, $G209))</f>
        <v/>
      </c>
      <c r="O209" s="37" t="str">
        <f>IF(G209="","",SUMIFS('Non-State'!BO:BO,'Non-State'!$C:$C,$G209)-SUMIFS('Non-State'!BN:BN,'Non-State'!$C:$C,$G209))</f>
        <v/>
      </c>
      <c r="P209" s="37" t="str">
        <f>IF(OR(F209="", F209="No Results"),  "", SUMIFS('Non-State'!CF:CF, 'Non-State'!C:C, $G209)+SUMIFS('Non-State'!CG:CG, 'Non-State'!C:C, $G209))</f>
        <v/>
      </c>
      <c r="Q209" s="37" t="str">
        <f>IF(OR(G209="", G209="No Results"),  "", SUMIFS('Non-State'!CG:CG, 'Non-State'!C:C, $G209))</f>
        <v/>
      </c>
    </row>
    <row r="210" spans="6:17" x14ac:dyDescent="0.25">
      <c r="F210" s="66" t="str">
        <f t="shared" si="6"/>
        <v/>
      </c>
      <c r="G210" s="66" t="str">
        <f>IF(OR(F210="", F210="No Results"),  "", INDEX('Non-State'!C:C, MATCH($F210, 'Non-State'!B:B, 0)))</f>
        <v/>
      </c>
      <c r="H210" s="66" t="str">
        <f>IF(OR(F210="", F210="No Results"), "", INDEX('Non-State'!E:E, MATCH($G210, 'Non-State'!$C:$C, 0)))</f>
        <v/>
      </c>
      <c r="I210" s="67" t="str">
        <f>IF(OR(G210="", G210="No Results"), "", INDEX('Non-State'!F:F, MATCH($G210, 'Non-State'!$C:$C, 0)))</f>
        <v/>
      </c>
      <c r="J210" s="37" t="str">
        <f>IF(G210="", "", SUMIFS('Non-State'!CH:CH, 'Non-State'!C:C, $G210))</f>
        <v/>
      </c>
      <c r="K210" s="37" t="str">
        <f>IF(G210="", "", SUMIFS('Non-State'!BG:BG, 'Non-State'!$C:$C, $G210))</f>
        <v/>
      </c>
      <c r="L210" s="37" t="str">
        <f>IF(G210="", "",  SUMIFS('Non-State'!BL:BL, 'Non-State'!$C:$C, $G210)+SUMIFS('Non-State'!CA:CA, 'Non-State'!$C:$C, $G210))</f>
        <v/>
      </c>
      <c r="M210" s="37" t="str">
        <f>IF(G210="", "", SUMIFS('Non-State'!BD:BD, 'Non-State'!$C:$C, $G210))</f>
        <v/>
      </c>
      <c r="N210" s="37" t="str">
        <f>IF(G210="", "", SUMIFS('Non-State'!BH:BH, 'Non-State'!$C:$C, $G210))</f>
        <v/>
      </c>
      <c r="O210" s="37" t="str">
        <f>IF(G210="","",SUMIFS('Non-State'!BO:BO,'Non-State'!$C:$C,$G210)-SUMIFS('Non-State'!BN:BN,'Non-State'!$C:$C,$G210))</f>
        <v/>
      </c>
      <c r="P210" s="37" t="str">
        <f>IF(OR(F210="", F210="No Results"),  "", SUMIFS('Non-State'!CF:CF, 'Non-State'!C:C, $G210)+SUMIFS('Non-State'!CG:CG, 'Non-State'!C:C, $G210))</f>
        <v/>
      </c>
      <c r="Q210" s="37" t="str">
        <f>IF(OR(G210="", G210="No Results"),  "", SUMIFS('Non-State'!CG:CG, 'Non-State'!C:C, $G210))</f>
        <v/>
      </c>
    </row>
    <row r="211" spans="6:17" x14ac:dyDescent="0.25">
      <c r="F211" s="66" t="str">
        <f t="shared" si="6"/>
        <v/>
      </c>
      <c r="G211" s="66" t="str">
        <f>IF(OR(F211="", F211="No Results"),  "", INDEX('Non-State'!C:C, MATCH($F211, 'Non-State'!B:B, 0)))</f>
        <v/>
      </c>
      <c r="H211" s="66" t="str">
        <f>IF(OR(F211="", F211="No Results"), "", INDEX('Non-State'!E:E, MATCH($G211, 'Non-State'!$C:$C, 0)))</f>
        <v/>
      </c>
      <c r="I211" s="67" t="str">
        <f>IF(OR(G211="", G211="No Results"), "", INDEX('Non-State'!F:F, MATCH($G211, 'Non-State'!$C:$C, 0)))</f>
        <v/>
      </c>
      <c r="J211" s="37" t="str">
        <f>IF(G211="", "", SUMIFS('Non-State'!CH:CH, 'Non-State'!C:C, $G211))</f>
        <v/>
      </c>
      <c r="K211" s="37" t="str">
        <f>IF(G211="", "", SUMIFS('Non-State'!BG:BG, 'Non-State'!$C:$C, $G211))</f>
        <v/>
      </c>
      <c r="L211" s="37" t="str">
        <f>IF(G211="", "",  SUMIFS('Non-State'!BL:BL, 'Non-State'!$C:$C, $G211)+SUMIFS('Non-State'!CA:CA, 'Non-State'!$C:$C, $G211))</f>
        <v/>
      </c>
      <c r="M211" s="37" t="str">
        <f>IF(G211="", "", SUMIFS('Non-State'!BD:BD, 'Non-State'!$C:$C, $G211))</f>
        <v/>
      </c>
      <c r="N211" s="37" t="str">
        <f>IF(G211="", "", SUMIFS('Non-State'!BH:BH, 'Non-State'!$C:$C, $G211))</f>
        <v/>
      </c>
      <c r="O211" s="37" t="str">
        <f>IF(G211="","",SUMIFS('Non-State'!BO:BO,'Non-State'!$C:$C,$G211)-SUMIFS('Non-State'!BN:BN,'Non-State'!$C:$C,$G211))</f>
        <v/>
      </c>
      <c r="P211" s="37" t="str">
        <f>IF(OR(F211="", F211="No Results"),  "", SUMIFS('Non-State'!CF:CF, 'Non-State'!C:C, $G211)+SUMIFS('Non-State'!CG:CG, 'Non-State'!C:C, $G211))</f>
        <v/>
      </c>
      <c r="Q211" s="37" t="str">
        <f>IF(OR(G211="", G211="No Results"),  "", SUMIFS('Non-State'!CG:CG, 'Non-State'!C:C, $G211))</f>
        <v/>
      </c>
    </row>
    <row r="212" spans="6:17" x14ac:dyDescent="0.25">
      <c r="F212" s="66" t="str">
        <f t="shared" si="6"/>
        <v/>
      </c>
      <c r="G212" s="66" t="str">
        <f>IF(OR(F212="", F212="No Results"),  "", INDEX('Non-State'!C:C, MATCH($F212, 'Non-State'!B:B, 0)))</f>
        <v/>
      </c>
      <c r="H212" s="66" t="str">
        <f>IF(OR(F212="", F212="No Results"), "", INDEX('Non-State'!E:E, MATCH($G212, 'Non-State'!$C:$C, 0)))</f>
        <v/>
      </c>
      <c r="I212" s="67" t="str">
        <f>IF(OR(G212="", G212="No Results"), "", INDEX('Non-State'!F:F, MATCH($G212, 'Non-State'!$C:$C, 0)))</f>
        <v/>
      </c>
      <c r="J212" s="37" t="str">
        <f>IF(G212="", "", SUMIFS('Non-State'!CH:CH, 'Non-State'!C:C, $G212))</f>
        <v/>
      </c>
      <c r="K212" s="37" t="str">
        <f>IF(G212="", "", SUMIFS('Non-State'!BG:BG, 'Non-State'!$C:$C, $G212))</f>
        <v/>
      </c>
      <c r="L212" s="37" t="str">
        <f>IF(G212="", "",  SUMIFS('Non-State'!BL:BL, 'Non-State'!$C:$C, $G212)+SUMIFS('Non-State'!CA:CA, 'Non-State'!$C:$C, $G212))</f>
        <v/>
      </c>
      <c r="M212" s="37" t="str">
        <f>IF(G212="", "", SUMIFS('Non-State'!BD:BD, 'Non-State'!$C:$C, $G212))</f>
        <v/>
      </c>
      <c r="N212" s="37" t="str">
        <f>IF(G212="", "", SUMIFS('Non-State'!BH:BH, 'Non-State'!$C:$C, $G212))</f>
        <v/>
      </c>
      <c r="O212" s="37" t="str">
        <f>IF(G212="","",SUMIFS('Non-State'!BO:BO,'Non-State'!$C:$C,$G212)-SUMIFS('Non-State'!BN:BN,'Non-State'!$C:$C,$G212))</f>
        <v/>
      </c>
      <c r="P212" s="37" t="str">
        <f>IF(OR(F212="", F212="No Results"),  "", SUMIFS('Non-State'!CF:CF, 'Non-State'!C:C, $G212)+SUMIFS('Non-State'!CG:CG, 'Non-State'!C:C, $G212))</f>
        <v/>
      </c>
      <c r="Q212" s="37" t="str">
        <f>IF(OR(G212="", G212="No Results"),  "", SUMIFS('Non-State'!CG:CG, 'Non-State'!C:C, $G212))</f>
        <v/>
      </c>
    </row>
    <row r="213" spans="6:17" x14ac:dyDescent="0.25">
      <c r="F213" s="66" t="str">
        <f t="shared" si="6"/>
        <v/>
      </c>
      <c r="G213" s="66" t="str">
        <f>IF(OR(F213="", F213="No Results"),  "", INDEX('Non-State'!C:C, MATCH($F213, 'Non-State'!B:B, 0)))</f>
        <v/>
      </c>
      <c r="H213" s="66" t="str">
        <f>IF(OR(F213="", F213="No Results"), "", INDEX('Non-State'!E:E, MATCH($G213, 'Non-State'!$C:$C, 0)))</f>
        <v/>
      </c>
      <c r="I213" s="67" t="str">
        <f>IF(OR(G213="", G213="No Results"), "", INDEX('Non-State'!F:F, MATCH($G213, 'Non-State'!$C:$C, 0)))</f>
        <v/>
      </c>
      <c r="J213" s="37" t="str">
        <f>IF(G213="", "", SUMIFS('Non-State'!CH:CH, 'Non-State'!C:C, $G213))</f>
        <v/>
      </c>
      <c r="K213" s="37" t="str">
        <f>IF(G213="", "", SUMIFS('Non-State'!BG:BG, 'Non-State'!$C:$C, $G213))</f>
        <v/>
      </c>
      <c r="L213" s="37" t="str">
        <f>IF(G213="", "",  SUMIFS('Non-State'!BL:BL, 'Non-State'!$C:$C, $G213)+SUMIFS('Non-State'!CA:CA, 'Non-State'!$C:$C, $G213))</f>
        <v/>
      </c>
      <c r="M213" s="37" t="str">
        <f>IF(G213="", "", SUMIFS('Non-State'!BD:BD, 'Non-State'!$C:$C, $G213))</f>
        <v/>
      </c>
      <c r="N213" s="37" t="str">
        <f>IF(G213="", "", SUMIFS('Non-State'!BH:BH, 'Non-State'!$C:$C, $G213))</f>
        <v/>
      </c>
      <c r="O213" s="37" t="str">
        <f>IF(G213="","",SUMIFS('Non-State'!BO:BO,'Non-State'!$C:$C,$G213)-SUMIFS('Non-State'!BN:BN,'Non-State'!$C:$C,$G213))</f>
        <v/>
      </c>
      <c r="P213" s="37" t="str">
        <f>IF(OR(F213="", F213="No Results"),  "", SUMIFS('Non-State'!CF:CF, 'Non-State'!C:C, $G213)+SUMIFS('Non-State'!CG:CG, 'Non-State'!C:C, $G213))</f>
        <v/>
      </c>
      <c r="Q213" s="37" t="str">
        <f>IF(OR(G213="", G213="No Results"),  "", SUMIFS('Non-State'!CG:CG, 'Non-State'!C:C, $G213))</f>
        <v/>
      </c>
    </row>
    <row r="214" spans="6:17" x14ac:dyDescent="0.25">
      <c r="F214" s="66" t="str">
        <f t="shared" si="6"/>
        <v/>
      </c>
      <c r="G214" s="66" t="str">
        <f>IF(OR(F214="", F214="No Results"),  "", INDEX('Non-State'!C:C, MATCH($F214, 'Non-State'!B:B, 0)))</f>
        <v/>
      </c>
      <c r="H214" s="66" t="str">
        <f>IF(OR(F214="", F214="No Results"), "", INDEX('Non-State'!E:E, MATCH($G214, 'Non-State'!$C:$C, 0)))</f>
        <v/>
      </c>
      <c r="I214" s="67" t="str">
        <f>IF(OR(G214="", G214="No Results"), "", INDEX('Non-State'!F:F, MATCH($G214, 'Non-State'!$C:$C, 0)))</f>
        <v/>
      </c>
      <c r="J214" s="37" t="str">
        <f>IF(G214="", "", SUMIFS('Non-State'!CH:CH, 'Non-State'!C:C, $G214))</f>
        <v/>
      </c>
      <c r="K214" s="37" t="str">
        <f>IF(G214="", "", SUMIFS('Non-State'!BG:BG, 'Non-State'!$C:$C, $G214))</f>
        <v/>
      </c>
      <c r="L214" s="37" t="str">
        <f>IF(G214="", "",  SUMIFS('Non-State'!BL:BL, 'Non-State'!$C:$C, $G214)+SUMIFS('Non-State'!CA:CA, 'Non-State'!$C:$C, $G214))</f>
        <v/>
      </c>
      <c r="M214" s="37" t="str">
        <f>IF(G214="", "", SUMIFS('Non-State'!BD:BD, 'Non-State'!$C:$C, $G214))</f>
        <v/>
      </c>
      <c r="N214" s="37" t="str">
        <f>IF(G214="", "", SUMIFS('Non-State'!BH:BH, 'Non-State'!$C:$C, $G214))</f>
        <v/>
      </c>
      <c r="O214" s="37" t="str">
        <f>IF(G214="","",SUMIFS('Non-State'!BO:BO,'Non-State'!$C:$C,$G214)-SUMIFS('Non-State'!BN:BN,'Non-State'!$C:$C,$G214))</f>
        <v/>
      </c>
      <c r="P214" s="37" t="str">
        <f>IF(OR(F214="", F214="No Results"),  "", SUMIFS('Non-State'!CF:CF, 'Non-State'!C:C, $G214)+SUMIFS('Non-State'!CG:CG, 'Non-State'!C:C, $G214))</f>
        <v/>
      </c>
      <c r="Q214" s="37" t="str">
        <f>IF(OR(G214="", G214="No Results"),  "", SUMIFS('Non-State'!CG:CG, 'Non-State'!C:C, $G214))</f>
        <v/>
      </c>
    </row>
    <row r="215" spans="6:17" x14ac:dyDescent="0.25">
      <c r="F215" s="66" t="str">
        <f t="shared" si="6"/>
        <v/>
      </c>
      <c r="G215" s="66" t="str">
        <f>IF(OR(F215="", F215="No Results"),  "", INDEX('Non-State'!C:C, MATCH($F215, 'Non-State'!B:B, 0)))</f>
        <v/>
      </c>
      <c r="H215" s="66" t="str">
        <f>IF(OR(F215="", F215="No Results"), "", INDEX('Non-State'!E:E, MATCH($G215, 'Non-State'!$C:$C, 0)))</f>
        <v/>
      </c>
      <c r="I215" s="67" t="str">
        <f>IF(OR(G215="", G215="No Results"), "", INDEX('Non-State'!F:F, MATCH($G215, 'Non-State'!$C:$C, 0)))</f>
        <v/>
      </c>
      <c r="J215" s="37" t="str">
        <f>IF(G215="", "", SUMIFS('Non-State'!CH:CH, 'Non-State'!C:C, $G215))</f>
        <v/>
      </c>
      <c r="K215" s="37" t="str">
        <f>IF(G215="", "", SUMIFS('Non-State'!BG:BG, 'Non-State'!$C:$C, $G215))</f>
        <v/>
      </c>
      <c r="L215" s="37" t="str">
        <f>IF(G215="", "",  SUMIFS('Non-State'!BL:BL, 'Non-State'!$C:$C, $G215)+SUMIFS('Non-State'!CA:CA, 'Non-State'!$C:$C, $G215))</f>
        <v/>
      </c>
      <c r="M215" s="37" t="str">
        <f>IF(G215="", "", SUMIFS('Non-State'!BD:BD, 'Non-State'!$C:$C, $G215))</f>
        <v/>
      </c>
      <c r="N215" s="37" t="str">
        <f>IF(G215="", "", SUMIFS('Non-State'!BH:BH, 'Non-State'!$C:$C, $G215))</f>
        <v/>
      </c>
      <c r="O215" s="37" t="str">
        <f>IF(G215="","",SUMIFS('Non-State'!BO:BO,'Non-State'!$C:$C,$G215)-SUMIFS('Non-State'!BN:BN,'Non-State'!$C:$C,$G215))</f>
        <v/>
      </c>
      <c r="P215" s="37" t="str">
        <f>IF(OR(F215="", F215="No Results"),  "", SUMIFS('Non-State'!CF:CF, 'Non-State'!C:C, $G215)+SUMIFS('Non-State'!CG:CG, 'Non-State'!C:C, $G215))</f>
        <v/>
      </c>
      <c r="Q215" s="37" t="str">
        <f>IF(OR(G215="", G215="No Results"),  "", SUMIFS('Non-State'!CG:CG, 'Non-State'!C:C, $G215))</f>
        <v/>
      </c>
    </row>
    <row r="216" spans="6:17" x14ac:dyDescent="0.25">
      <c r="F216" s="66" t="str">
        <f t="shared" si="6"/>
        <v/>
      </c>
      <c r="G216" s="66" t="str">
        <f>IF(OR(F216="", F216="No Results"),  "", INDEX('Non-State'!C:C, MATCH($F216, 'Non-State'!B:B, 0)))</f>
        <v/>
      </c>
      <c r="H216" s="66" t="str">
        <f>IF(OR(F216="", F216="No Results"), "", INDEX('Non-State'!E:E, MATCH($G216, 'Non-State'!$C:$C, 0)))</f>
        <v/>
      </c>
      <c r="I216" s="67" t="str">
        <f>IF(OR(G216="", G216="No Results"), "", INDEX('Non-State'!F:F, MATCH($G216, 'Non-State'!$C:$C, 0)))</f>
        <v/>
      </c>
      <c r="J216" s="37" t="str">
        <f>IF(G216="", "", SUMIFS('Non-State'!CH:CH, 'Non-State'!C:C, $G216))</f>
        <v/>
      </c>
      <c r="K216" s="37" t="str">
        <f>IF(G216="", "", SUMIFS('Non-State'!BG:BG, 'Non-State'!$C:$C, $G216))</f>
        <v/>
      </c>
      <c r="L216" s="37" t="str">
        <f>IF(G216="", "",  SUMIFS('Non-State'!BL:BL, 'Non-State'!$C:$C, $G216)+SUMIFS('Non-State'!CA:CA, 'Non-State'!$C:$C, $G216))</f>
        <v/>
      </c>
      <c r="M216" s="37" t="str">
        <f>IF(G216="", "", SUMIFS('Non-State'!BD:BD, 'Non-State'!$C:$C, $G216))</f>
        <v/>
      </c>
      <c r="N216" s="37" t="str">
        <f>IF(G216="", "", SUMIFS('Non-State'!BH:BH, 'Non-State'!$C:$C, $G216))</f>
        <v/>
      </c>
      <c r="O216" s="37" t="str">
        <f>IF(G216="","",SUMIFS('Non-State'!BO:BO,'Non-State'!$C:$C,$G216)-SUMIFS('Non-State'!BN:BN,'Non-State'!$C:$C,$G216))</f>
        <v/>
      </c>
      <c r="P216" s="37" t="str">
        <f>IF(OR(F216="", F216="No Results"),  "", SUMIFS('Non-State'!CF:CF, 'Non-State'!C:C, $G216)+SUMIFS('Non-State'!CG:CG, 'Non-State'!C:C, $G216))</f>
        <v/>
      </c>
      <c r="Q216" s="37" t="str">
        <f>IF(OR(G216="", G216="No Results"),  "", SUMIFS('Non-State'!CG:CG, 'Non-State'!C:C, $G216))</f>
        <v/>
      </c>
    </row>
    <row r="217" spans="6:17" x14ac:dyDescent="0.25">
      <c r="F217" s="70" t="str">
        <f t="shared" si="6"/>
        <v/>
      </c>
      <c r="G217" s="66" t="str">
        <f>IF(OR(F217="", F217="No Results"),  "", INDEX('Non-State'!C:C, MATCH($F217, 'Non-State'!B:B, 0)))</f>
        <v/>
      </c>
      <c r="H217" s="66" t="str">
        <f>IF(OR(F217="", F217="No Results"), "", INDEX('Non-State'!E:E, MATCH($G217, 'Non-State'!$C:$C, 0)))</f>
        <v/>
      </c>
      <c r="I217" s="67" t="str">
        <f>IF(OR(G217="", G217="No Results"), "", INDEX('Non-State'!F:F, MATCH($G217, 'Non-State'!$C:$C, 0)))</f>
        <v/>
      </c>
      <c r="J217" s="37" t="str">
        <f>IF(G217="", "", SUMIFS('Non-State'!CH:CH, 'Non-State'!C:C, $G217))</f>
        <v/>
      </c>
      <c r="K217" s="37" t="str">
        <f>IF(G217="", "", SUMIFS('Non-State'!BG:BG, 'Non-State'!$C:$C, $G217))</f>
        <v/>
      </c>
      <c r="L217" s="37" t="str">
        <f>IF(G217="", "",  SUMIFS('Non-State'!BL:BL, 'Non-State'!$C:$C, $G217)+SUMIFS('Non-State'!CA:CA, 'Non-State'!$C:$C, $G217))</f>
        <v/>
      </c>
      <c r="M217" s="37" t="str">
        <f>IF(G217="", "", SUMIFS('Non-State'!BD:BD, 'Non-State'!$C:$C, $G217))</f>
        <v/>
      </c>
      <c r="N217" s="37" t="str">
        <f>IF(G217="", "", SUMIFS('Non-State'!BH:BH, 'Non-State'!$C:$C, $G217))</f>
        <v/>
      </c>
      <c r="O217" s="37" t="str">
        <f>IF(G217="","",SUMIFS('Non-State'!BO:BO,'Non-State'!$C:$C,$G217)-SUMIFS('Non-State'!BN:BN,'Non-State'!$C:$C,$G217))</f>
        <v/>
      </c>
      <c r="P217" s="37" t="str">
        <f>IF(OR(F217="", F217="No Results"),  "", SUMIFS('Non-State'!CF:CF, 'Non-State'!C:C, $G217)+SUMIFS('Non-State'!CG:CG, 'Non-State'!C:C, $G217))</f>
        <v/>
      </c>
      <c r="Q217" s="37" t="str">
        <f>IF(OR(G217="", G217="No Results"),  "", SUMIFS('Non-State'!CG:CG, 'Non-State'!C:C, $G217))</f>
        <v/>
      </c>
    </row>
  </sheetData>
  <mergeCells count="6">
    <mergeCell ref="B25:B26"/>
    <mergeCell ref="B8:B10"/>
    <mergeCell ref="B12:B14"/>
    <mergeCell ref="B16:B17"/>
    <mergeCell ref="B19:B20"/>
    <mergeCell ref="B22:B23"/>
  </mergeCells>
  <conditionalFormatting sqref="D8:D26">
    <cfRule type="cellIs" dxfId="66" priority="2" operator="equal">
      <formula>"Exclude"</formula>
    </cfRule>
  </conditionalFormatting>
  <conditionalFormatting sqref="I3">
    <cfRule type="cellIs" dxfId="65" priority="1" operator="equal">
      <formula>"Exclude"</formula>
    </cfRule>
  </conditionalFormatting>
  <dataValidations count="1">
    <dataValidation type="list" allowBlank="1" showInputMessage="1" showErrorMessage="1" sqref="D8:D10 D12:D14 D19:D20 D22:D26 D16:D17 D28:D32" xr:uid="{456A956A-729D-43AC-B94D-E3E9C46DF76D}">
      <formula1>"Include, Exclude"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9633C-8E05-4FE8-905C-0AA667B4278D}">
  <sheetPr codeName="Sheet9">
    <tabColor theme="1"/>
  </sheetPr>
  <dimension ref="A1:Q233"/>
  <sheetViews>
    <sheetView showGridLines="0" zoomScale="90" zoomScaleNormal="90" workbookViewId="0"/>
  </sheetViews>
  <sheetFormatPr defaultRowHeight="15" x14ac:dyDescent="0.25"/>
  <cols>
    <col min="1" max="1" width="3.85546875" customWidth="1"/>
    <col min="2" max="2" width="24.5703125" style="72" customWidth="1"/>
    <col min="3" max="3" width="28.7109375" style="72" bestFit="1" customWidth="1"/>
    <col min="4" max="4" width="22.5703125" style="72" bestFit="1" customWidth="1"/>
    <col min="5" max="5" width="21.5703125" style="72" bestFit="1" customWidth="1"/>
    <col min="6" max="6" width="19.140625" bestFit="1" customWidth="1"/>
    <col min="7" max="7" width="32.85546875" bestFit="1" customWidth="1"/>
    <col min="8" max="8" width="16" bestFit="1" customWidth="1"/>
    <col min="9" max="9" width="43.85546875" bestFit="1" customWidth="1"/>
    <col min="10" max="10" width="19.140625" bestFit="1" customWidth="1"/>
    <col min="11" max="11" width="17.5703125" customWidth="1"/>
    <col min="12" max="12" width="19.85546875" customWidth="1"/>
    <col min="13" max="13" width="31.42578125" bestFit="1" customWidth="1"/>
    <col min="14" max="14" width="15" bestFit="1" customWidth="1"/>
    <col min="15" max="15" width="25.7109375" customWidth="1"/>
  </cols>
  <sheetData>
    <row r="1" spans="1:17" s="3" customFormat="1" ht="21" x14ac:dyDescent="0.35">
      <c r="A1" s="1" t="s">
        <v>43</v>
      </c>
      <c r="B1" s="2"/>
      <c r="C1" s="2"/>
      <c r="E1" s="2"/>
    </row>
    <row r="2" spans="1:17" s="6" customFormat="1" ht="1.5" customHeight="1" x14ac:dyDescent="0.3">
      <c r="A2" s="4"/>
      <c r="B2" s="5"/>
      <c r="C2" s="5"/>
      <c r="D2" s="5"/>
      <c r="E2" s="5"/>
    </row>
    <row r="3" spans="1:17" s="12" customFormat="1" x14ac:dyDescent="0.25">
      <c r="A3" s="7" t="s">
        <v>44</v>
      </c>
      <c r="B3" s="8"/>
      <c r="C3" s="9"/>
      <c r="D3" s="9"/>
      <c r="E3" s="9"/>
    </row>
    <row r="4" spans="1:17" hidden="1" x14ac:dyDescent="0.25">
      <c r="A4" s="7" t="s">
        <v>45</v>
      </c>
      <c r="G4" s="75" t="s">
        <v>46</v>
      </c>
      <c r="H4" s="76">
        <v>7</v>
      </c>
      <c r="M4" s="75" t="s">
        <v>47</v>
      </c>
      <c r="N4" s="76">
        <v>218</v>
      </c>
    </row>
    <row r="5" spans="1:17" ht="18.75" hidden="1" x14ac:dyDescent="0.3">
      <c r="A5" s="13" t="s">
        <v>5</v>
      </c>
      <c r="G5" s="56"/>
    </row>
    <row r="6" spans="1:17" ht="17.100000000000001" hidden="1" customHeight="1" thickBot="1" x14ac:dyDescent="0.3">
      <c r="B6" s="674" t="s">
        <v>48</v>
      </c>
      <c r="C6" s="675"/>
      <c r="D6" s="675"/>
      <c r="E6" s="676"/>
      <c r="G6" s="671" t="s">
        <v>49</v>
      </c>
      <c r="H6" s="672"/>
      <c r="I6" s="672"/>
      <c r="J6" s="672"/>
      <c r="K6" s="673"/>
      <c r="M6" s="671" t="s">
        <v>50</v>
      </c>
      <c r="N6" s="672"/>
      <c r="O6" s="672"/>
      <c r="P6" s="672"/>
      <c r="Q6" s="673"/>
    </row>
    <row r="7" spans="1:17" ht="14.45" hidden="1" customHeight="1" thickBot="1" x14ac:dyDescent="0.3">
      <c r="B7" s="77"/>
      <c r="C7" s="78"/>
      <c r="D7" s="79" t="s">
        <v>48</v>
      </c>
      <c r="E7" s="80" t="s">
        <v>51</v>
      </c>
      <c r="G7" s="81" t="s">
        <v>32</v>
      </c>
      <c r="H7" s="82" t="s">
        <v>52</v>
      </c>
      <c r="I7" s="82" t="s">
        <v>53</v>
      </c>
      <c r="J7" s="83" t="s">
        <v>54</v>
      </c>
      <c r="K7" s="84" t="s">
        <v>55</v>
      </c>
      <c r="L7" s="85"/>
      <c r="M7" s="81" t="s">
        <v>32</v>
      </c>
      <c r="N7" s="82" t="s">
        <v>52</v>
      </c>
      <c r="O7" s="82" t="s">
        <v>53</v>
      </c>
      <c r="P7" s="83" t="s">
        <v>56</v>
      </c>
      <c r="Q7" s="84" t="s">
        <v>57</v>
      </c>
    </row>
    <row r="8" spans="1:17" ht="17.45" hidden="1" customHeight="1" x14ac:dyDescent="0.25">
      <c r="B8" s="677" t="s">
        <v>58</v>
      </c>
      <c r="C8" s="678"/>
      <c r="D8" s="86">
        <v>0</v>
      </c>
      <c r="E8" s="87">
        <v>0</v>
      </c>
      <c r="G8" s="88">
        <v>1</v>
      </c>
      <c r="H8" s="89" t="s">
        <v>59</v>
      </c>
      <c r="I8" s="90" t="s">
        <v>60</v>
      </c>
      <c r="J8" s="91" t="s">
        <v>28</v>
      </c>
      <c r="K8" s="92" t="s">
        <v>26</v>
      </c>
      <c r="M8" s="88">
        <v>1</v>
      </c>
      <c r="N8" s="89" t="s">
        <v>61</v>
      </c>
      <c r="O8" s="90" t="s">
        <v>62</v>
      </c>
      <c r="P8" s="91" t="s">
        <v>63</v>
      </c>
      <c r="Q8" s="92" t="s">
        <v>35</v>
      </c>
    </row>
    <row r="9" spans="1:17" ht="17.100000000000001" hidden="1" customHeight="1" x14ac:dyDescent="0.25">
      <c r="B9" s="93" t="s">
        <v>64</v>
      </c>
      <c r="C9" s="94"/>
      <c r="D9" s="95">
        <v>0</v>
      </c>
      <c r="E9" s="96">
        <v>0</v>
      </c>
      <c r="G9" s="88">
        <f t="shared" ref="G9:G32" si="0">IF(G8&lt;$H$4,G8+1,"")</f>
        <v>2</v>
      </c>
      <c r="H9" s="89" t="s">
        <v>65</v>
      </c>
      <c r="I9" s="90" t="s">
        <v>66</v>
      </c>
      <c r="J9" s="91" t="s">
        <v>28</v>
      </c>
      <c r="K9" s="92" t="s">
        <v>26</v>
      </c>
      <c r="M9" s="88">
        <f t="shared" ref="M9:M32" si="1">IF(M8&lt;$N$4,M8+1,"")</f>
        <v>2</v>
      </c>
      <c r="N9" s="89" t="s">
        <v>67</v>
      </c>
      <c r="O9" s="90" t="s">
        <v>68</v>
      </c>
      <c r="P9" s="91" t="s">
        <v>63</v>
      </c>
      <c r="Q9" s="92" t="s">
        <v>35</v>
      </c>
    </row>
    <row r="10" spans="1:17" ht="14.45" hidden="1" customHeight="1" thickBot="1" x14ac:dyDescent="0.3">
      <c r="B10" s="97" t="s">
        <v>69</v>
      </c>
      <c r="C10" s="98"/>
      <c r="D10" s="99">
        <v>0</v>
      </c>
      <c r="E10" s="100">
        <f>MAX('Non-State'!CL:CL)</f>
        <v>975653975</v>
      </c>
      <c r="G10" s="88">
        <f t="shared" si="0"/>
        <v>3</v>
      </c>
      <c r="H10" s="89" t="s">
        <v>70</v>
      </c>
      <c r="I10" s="90" t="s">
        <v>71</v>
      </c>
      <c r="J10" s="91" t="s">
        <v>28</v>
      </c>
      <c r="K10" s="92" t="s">
        <v>26</v>
      </c>
      <c r="M10" s="88">
        <f t="shared" si="1"/>
        <v>3</v>
      </c>
      <c r="N10" s="89" t="s">
        <v>72</v>
      </c>
      <c r="O10" s="90" t="s">
        <v>73</v>
      </c>
      <c r="P10" s="91" t="s">
        <v>31</v>
      </c>
      <c r="Q10" s="92" t="s">
        <v>35</v>
      </c>
    </row>
    <row r="11" spans="1:17" hidden="1" x14ac:dyDescent="0.25">
      <c r="B11" s="101" t="s">
        <v>74</v>
      </c>
      <c r="C11" s="102"/>
      <c r="D11" s="103">
        <v>0</v>
      </c>
      <c r="E11" s="87"/>
      <c r="G11" s="88">
        <f t="shared" si="0"/>
        <v>4</v>
      </c>
      <c r="H11" s="89" t="s">
        <v>75</v>
      </c>
      <c r="I11" s="90" t="s">
        <v>76</v>
      </c>
      <c r="J11" s="91" t="s">
        <v>77</v>
      </c>
      <c r="K11" s="92" t="s">
        <v>26</v>
      </c>
      <c r="M11" s="88">
        <f t="shared" si="1"/>
        <v>4</v>
      </c>
      <c r="N11" s="89" t="s">
        <v>78</v>
      </c>
      <c r="O11" s="90" t="s">
        <v>79</v>
      </c>
      <c r="P11" s="91" t="s">
        <v>63</v>
      </c>
      <c r="Q11" s="92" t="s">
        <v>35</v>
      </c>
    </row>
    <row r="12" spans="1:17" ht="14.45" hidden="1" customHeight="1" thickBot="1" x14ac:dyDescent="0.3">
      <c r="B12" s="97" t="s">
        <v>80</v>
      </c>
      <c r="C12" s="98"/>
      <c r="D12" s="99">
        <v>0</v>
      </c>
      <c r="E12" s="100"/>
      <c r="G12" s="88">
        <f t="shared" si="0"/>
        <v>5</v>
      </c>
      <c r="H12" s="89" t="s">
        <v>81</v>
      </c>
      <c r="I12" s="90" t="s">
        <v>82</v>
      </c>
      <c r="J12" s="91" t="s">
        <v>26</v>
      </c>
      <c r="K12" s="92" t="s">
        <v>77</v>
      </c>
      <c r="M12" s="88">
        <f t="shared" si="1"/>
        <v>5</v>
      </c>
      <c r="N12" s="89" t="s">
        <v>83</v>
      </c>
      <c r="O12" s="90" t="s">
        <v>84</v>
      </c>
      <c r="P12" s="91" t="s">
        <v>63</v>
      </c>
      <c r="Q12" s="92" t="s">
        <v>35</v>
      </c>
    </row>
    <row r="13" spans="1:17" ht="15.75" hidden="1" thickTop="1" x14ac:dyDescent="0.25">
      <c r="B13" s="101" t="s">
        <v>85</v>
      </c>
      <c r="C13" s="102"/>
      <c r="D13" s="103">
        <v>0</v>
      </c>
      <c r="E13" s="104"/>
      <c r="G13" s="88">
        <f t="shared" si="0"/>
        <v>6</v>
      </c>
      <c r="H13" s="89" t="s">
        <v>86</v>
      </c>
      <c r="I13" s="90" t="s">
        <v>87</v>
      </c>
      <c r="J13" s="91" t="s">
        <v>28</v>
      </c>
      <c r="K13" s="92" t="s">
        <v>26</v>
      </c>
      <c r="M13" s="88">
        <f t="shared" si="1"/>
        <v>6</v>
      </c>
      <c r="N13" s="89" t="s">
        <v>88</v>
      </c>
      <c r="O13" s="90" t="s">
        <v>89</v>
      </c>
      <c r="P13" s="91" t="s">
        <v>63</v>
      </c>
      <c r="Q13" s="92" t="s">
        <v>35</v>
      </c>
    </row>
    <row r="14" spans="1:17" hidden="1" x14ac:dyDescent="0.25">
      <c r="B14" s="101" t="s">
        <v>90</v>
      </c>
      <c r="C14" s="102"/>
      <c r="D14" s="103">
        <v>1723555305.4900002</v>
      </c>
      <c r="E14" s="96"/>
      <c r="G14" s="88">
        <f t="shared" si="0"/>
        <v>7</v>
      </c>
      <c r="H14" s="89" t="s">
        <v>91</v>
      </c>
      <c r="I14" s="90" t="s">
        <v>92</v>
      </c>
      <c r="J14" s="91" t="s">
        <v>28</v>
      </c>
      <c r="K14" s="92" t="s">
        <v>26</v>
      </c>
      <c r="M14" s="88">
        <f t="shared" si="1"/>
        <v>7</v>
      </c>
      <c r="N14" s="89" t="s">
        <v>93</v>
      </c>
      <c r="O14" s="90" t="s">
        <v>94</v>
      </c>
      <c r="P14" s="91" t="s">
        <v>63</v>
      </c>
      <c r="Q14" s="92" t="s">
        <v>35</v>
      </c>
    </row>
    <row r="15" spans="1:17" ht="15.75" hidden="1" thickBot="1" x14ac:dyDescent="0.3">
      <c r="B15" s="105" t="s">
        <v>95</v>
      </c>
      <c r="C15" s="106"/>
      <c r="D15" s="107">
        <v>0</v>
      </c>
      <c r="E15" s="108"/>
      <c r="G15" s="88" t="str">
        <f t="shared" si="0"/>
        <v/>
      </c>
      <c r="H15" s="89" t="s">
        <v>63</v>
      </c>
      <c r="I15" s="90" t="s">
        <v>63</v>
      </c>
      <c r="J15" s="91" t="s">
        <v>63</v>
      </c>
      <c r="K15" s="92" t="s">
        <v>63</v>
      </c>
      <c r="M15" s="88">
        <f t="shared" si="1"/>
        <v>8</v>
      </c>
      <c r="N15" s="89" t="s">
        <v>96</v>
      </c>
      <c r="O15" s="90" t="s">
        <v>97</v>
      </c>
      <c r="P15" s="91" t="s">
        <v>31</v>
      </c>
      <c r="Q15" s="92" t="s">
        <v>35</v>
      </c>
    </row>
    <row r="16" spans="1:17" hidden="1" x14ac:dyDescent="0.25">
      <c r="G16" s="88" t="str">
        <f t="shared" si="0"/>
        <v/>
      </c>
      <c r="H16" s="89" t="s">
        <v>63</v>
      </c>
      <c r="I16" s="90" t="s">
        <v>63</v>
      </c>
      <c r="J16" s="91" t="s">
        <v>63</v>
      </c>
      <c r="K16" s="92" t="s">
        <v>63</v>
      </c>
      <c r="M16" s="88">
        <f t="shared" si="1"/>
        <v>9</v>
      </c>
      <c r="N16" s="89" t="s">
        <v>98</v>
      </c>
      <c r="O16" s="90" t="s">
        <v>99</v>
      </c>
      <c r="P16" s="91" t="s">
        <v>63</v>
      </c>
      <c r="Q16" s="92" t="s">
        <v>35</v>
      </c>
    </row>
    <row r="17" spans="1:17" ht="18.75" hidden="1" x14ac:dyDescent="0.25">
      <c r="B17" s="671" t="s">
        <v>100</v>
      </c>
      <c r="C17" s="672"/>
      <c r="D17" s="672"/>
      <c r="E17" s="673"/>
      <c r="G17" s="88" t="str">
        <f t="shared" si="0"/>
        <v/>
      </c>
      <c r="H17" s="89" t="s">
        <v>63</v>
      </c>
      <c r="I17" s="90" t="s">
        <v>63</v>
      </c>
      <c r="J17" s="91" t="s">
        <v>63</v>
      </c>
      <c r="K17" s="92" t="s">
        <v>63</v>
      </c>
      <c r="M17" s="88">
        <f t="shared" si="1"/>
        <v>10</v>
      </c>
      <c r="N17" s="89" t="s">
        <v>101</v>
      </c>
      <c r="O17" s="90" t="s">
        <v>102</v>
      </c>
      <c r="P17" s="91" t="s">
        <v>31</v>
      </c>
      <c r="Q17" s="92" t="s">
        <v>35</v>
      </c>
    </row>
    <row r="18" spans="1:17" ht="15.75" hidden="1" thickBot="1" x14ac:dyDescent="0.3">
      <c r="B18" s="109" t="s">
        <v>103</v>
      </c>
      <c r="C18" s="110" t="s">
        <v>13</v>
      </c>
      <c r="D18" s="110" t="s">
        <v>104</v>
      </c>
      <c r="E18" s="111" t="s">
        <v>105</v>
      </c>
      <c r="G18" s="88" t="str">
        <f t="shared" si="0"/>
        <v/>
      </c>
      <c r="H18" s="89" t="s">
        <v>63</v>
      </c>
      <c r="I18" s="90" t="s">
        <v>63</v>
      </c>
      <c r="J18" s="91" t="s">
        <v>63</v>
      </c>
      <c r="K18" s="92" t="s">
        <v>63</v>
      </c>
      <c r="M18" s="88">
        <f t="shared" si="1"/>
        <v>11</v>
      </c>
      <c r="N18" s="89" t="s">
        <v>106</v>
      </c>
      <c r="O18" s="90" t="s">
        <v>107</v>
      </c>
      <c r="P18" s="91" t="s">
        <v>31</v>
      </c>
      <c r="Q18" s="92" t="s">
        <v>35</v>
      </c>
    </row>
    <row r="19" spans="1:17" hidden="1" x14ac:dyDescent="0.25">
      <c r="B19" s="88" t="s">
        <v>11</v>
      </c>
      <c r="C19" s="112">
        <f>COUNTIF('Non-State'!H:H,B19)+COUNTIF(State!H:H,B19)</f>
        <v>5</v>
      </c>
      <c r="D19" s="91">
        <f>SUMIF('Non-State'!H:H,$B19,'Non-State'!BD:BD)+SUMIF(State!H:H,$B19,State!U:U)</f>
        <v>541606701.69493937</v>
      </c>
      <c r="E19" s="92">
        <f>SUMIF('Non-State'!H:H,B19,'Non-State'!CH:CH)+SUMIF(State!H:H,$B19,State!S:S)</f>
        <v>881942652.94181287</v>
      </c>
      <c r="G19" s="88" t="str">
        <f t="shared" si="0"/>
        <v/>
      </c>
      <c r="H19" s="89" t="s">
        <v>63</v>
      </c>
      <c r="I19" s="90" t="s">
        <v>63</v>
      </c>
      <c r="J19" s="91" t="s">
        <v>63</v>
      </c>
      <c r="K19" s="92" t="s">
        <v>63</v>
      </c>
      <c r="M19" s="88">
        <f t="shared" si="1"/>
        <v>12</v>
      </c>
      <c r="N19" s="89" t="s">
        <v>108</v>
      </c>
      <c r="O19" s="90" t="s">
        <v>109</v>
      </c>
      <c r="P19" s="91" t="s">
        <v>63</v>
      </c>
      <c r="Q19" s="92" t="s">
        <v>35</v>
      </c>
    </row>
    <row r="20" spans="1:17" hidden="1" x14ac:dyDescent="0.25">
      <c r="B20" s="88" t="s">
        <v>20</v>
      </c>
      <c r="C20" s="112">
        <f>COUNTIF('Non-State'!H:H,B20)+COUNTIF(State!H:H,B20)</f>
        <v>0</v>
      </c>
      <c r="D20" s="91">
        <f>SUMIF('Non-State'!H:H,$B20,'Non-State'!BD:BD)+SUMIF(State!H:H,$B20,State!U:U)</f>
        <v>0</v>
      </c>
      <c r="E20" s="92">
        <f>SUMIF('Non-State'!H:H,B20,'Non-State'!CH:CH)+SUMIF(State!H:H,$B20,State!S:S)</f>
        <v>0</v>
      </c>
      <c r="G20" s="88" t="str">
        <f t="shared" si="0"/>
        <v/>
      </c>
      <c r="H20" s="89" t="s">
        <v>63</v>
      </c>
      <c r="I20" s="90" t="s">
        <v>63</v>
      </c>
      <c r="J20" s="91" t="s">
        <v>63</v>
      </c>
      <c r="K20" s="92" t="s">
        <v>63</v>
      </c>
      <c r="M20" s="88">
        <f t="shared" si="1"/>
        <v>13</v>
      </c>
      <c r="N20" s="89" t="s">
        <v>110</v>
      </c>
      <c r="O20" s="90" t="s">
        <v>111</v>
      </c>
      <c r="P20" s="91" t="s">
        <v>31</v>
      </c>
      <c r="Q20" s="92" t="s">
        <v>35</v>
      </c>
    </row>
    <row r="21" spans="1:17" ht="15.75" hidden="1" thickBot="1" x14ac:dyDescent="0.3">
      <c r="A21" s="72"/>
      <c r="B21" s="113" t="s">
        <v>22</v>
      </c>
      <c r="C21" s="114">
        <f>COUNTIF('Non-State'!H:H,B21)+COUNTIF(State!H:H,B21)</f>
        <v>156</v>
      </c>
      <c r="D21" s="115">
        <f>SUMIF('Non-State'!H:H,$B21,'Non-State'!BD:BD)+SUMIF(State!H:H,$B21,State!U:U)</f>
        <v>189843610.14038718</v>
      </c>
      <c r="E21" s="116">
        <f>SUMIF('Non-State'!H:H,B21,'Non-State'!CH:CH)+SUMIF(State!H:H,$B21,State!S:S)</f>
        <v>1225244020.9051228</v>
      </c>
      <c r="G21" s="88" t="str">
        <f t="shared" si="0"/>
        <v/>
      </c>
      <c r="H21" t="s">
        <v>63</v>
      </c>
      <c r="I21" t="s">
        <v>63</v>
      </c>
      <c r="J21" t="s">
        <v>63</v>
      </c>
      <c r="K21" s="92" t="s">
        <v>63</v>
      </c>
      <c r="M21" s="88">
        <f t="shared" si="1"/>
        <v>14</v>
      </c>
      <c r="N21" t="s">
        <v>112</v>
      </c>
      <c r="O21" s="117" t="s">
        <v>113</v>
      </c>
      <c r="P21" t="s">
        <v>31</v>
      </c>
      <c r="Q21" s="92" t="s">
        <v>35</v>
      </c>
    </row>
    <row r="22" spans="1:17" hidden="1" x14ac:dyDescent="0.25">
      <c r="A22" s="72"/>
      <c r="C22" s="118"/>
      <c r="D22" s="119"/>
      <c r="E22" s="119"/>
      <c r="G22" s="88" t="str">
        <f t="shared" si="0"/>
        <v/>
      </c>
      <c r="H22" s="120" t="s">
        <v>63</v>
      </c>
      <c r="I22" s="121" t="s">
        <v>63</v>
      </c>
      <c r="J22" s="121" t="s">
        <v>63</v>
      </c>
      <c r="K22" s="92" t="s">
        <v>63</v>
      </c>
      <c r="M22" s="88">
        <f t="shared" si="1"/>
        <v>15</v>
      </c>
      <c r="N22" t="s">
        <v>114</v>
      </c>
      <c r="O22" s="117" t="s">
        <v>115</v>
      </c>
      <c r="P22" t="s">
        <v>63</v>
      </c>
      <c r="Q22" s="92" t="s">
        <v>35</v>
      </c>
    </row>
    <row r="23" spans="1:17" ht="18.75" hidden="1" x14ac:dyDescent="0.25">
      <c r="B23" s="671" t="s">
        <v>116</v>
      </c>
      <c r="C23" s="672"/>
      <c r="D23" s="672"/>
      <c r="E23" s="673"/>
      <c r="G23" s="88" t="str">
        <f t="shared" si="0"/>
        <v/>
      </c>
      <c r="H23" s="120" t="s">
        <v>63</v>
      </c>
      <c r="I23" s="121" t="s">
        <v>63</v>
      </c>
      <c r="J23" s="121" t="s">
        <v>63</v>
      </c>
      <c r="K23" s="92" t="s">
        <v>63</v>
      </c>
      <c r="M23" s="88">
        <f t="shared" si="1"/>
        <v>16</v>
      </c>
      <c r="N23" t="s">
        <v>117</v>
      </c>
      <c r="O23" s="117" t="s">
        <v>118</v>
      </c>
      <c r="P23" t="s">
        <v>63</v>
      </c>
      <c r="Q23" s="92" t="s">
        <v>35</v>
      </c>
    </row>
    <row r="24" spans="1:17" ht="15.75" hidden="1" thickBot="1" x14ac:dyDescent="0.3">
      <c r="B24" s="109" t="s">
        <v>119</v>
      </c>
      <c r="C24" s="110" t="s">
        <v>13</v>
      </c>
      <c r="D24" s="110" t="s">
        <v>104</v>
      </c>
      <c r="E24" s="111" t="s">
        <v>105</v>
      </c>
      <c r="G24" s="88" t="str">
        <f t="shared" si="0"/>
        <v/>
      </c>
      <c r="H24" s="120" t="s">
        <v>63</v>
      </c>
      <c r="I24" s="121" t="s">
        <v>63</v>
      </c>
      <c r="J24" s="121" t="s">
        <v>63</v>
      </c>
      <c r="K24" s="92" t="s">
        <v>63</v>
      </c>
      <c r="M24" s="88">
        <f t="shared" si="1"/>
        <v>17</v>
      </c>
      <c r="N24" t="s">
        <v>120</v>
      </c>
      <c r="O24" s="117" t="s">
        <v>121</v>
      </c>
      <c r="P24" t="s">
        <v>63</v>
      </c>
      <c r="Q24" s="92" t="s">
        <v>35</v>
      </c>
    </row>
    <row r="25" spans="1:17" hidden="1" x14ac:dyDescent="0.25">
      <c r="B25" s="88" t="s">
        <v>37</v>
      </c>
      <c r="C25" s="112">
        <f>COUNTIF('Non-State'!L:L,B25)+COUNTIF(State!M:M,B25)</f>
        <v>31</v>
      </c>
      <c r="D25" s="91">
        <f>SUMIF('Non-State'!L:L,$B25,'Non-State'!BD:BD)+SUMIF(State!M:M,$B25,State!U:U)</f>
        <v>92031482</v>
      </c>
      <c r="E25" s="92">
        <f>SUMIF('Non-State'!L:L,B25,'Non-State'!CH:CH)+SUMIF(State!M:M,$B25,State!S:S)</f>
        <v>292513591.98512256</v>
      </c>
      <c r="G25" s="88" t="str">
        <f t="shared" si="0"/>
        <v/>
      </c>
      <c r="H25" s="120" t="s">
        <v>63</v>
      </c>
      <c r="I25" s="121" t="s">
        <v>63</v>
      </c>
      <c r="J25" s="121" t="s">
        <v>63</v>
      </c>
      <c r="K25" s="92" t="s">
        <v>63</v>
      </c>
      <c r="M25" s="88">
        <f t="shared" si="1"/>
        <v>18</v>
      </c>
      <c r="N25" t="s">
        <v>122</v>
      </c>
      <c r="O25" s="117" t="s">
        <v>123</v>
      </c>
      <c r="P25" t="s">
        <v>63</v>
      </c>
      <c r="Q25" s="92" t="s">
        <v>35</v>
      </c>
    </row>
    <row r="26" spans="1:17" ht="15.75" hidden="1" thickBot="1" x14ac:dyDescent="0.3">
      <c r="B26" s="113" t="s">
        <v>35</v>
      </c>
      <c r="C26" s="114">
        <f>COUNTIF('Non-State'!L:L,B26)+COUNTIF(State!M:M,B26)</f>
        <v>130</v>
      </c>
      <c r="D26" s="115">
        <f>SUMIF('Non-State'!L:L,$B26,'Non-State'!BD:BD)+SUMIF(State!M:M,$B26,State!U:U)</f>
        <v>639418829.83532643</v>
      </c>
      <c r="E26" s="116">
        <f>SUMIF('Non-State'!L:L,B26,'Non-State'!CH:CH)+SUMIF(State!M:M,$B26,State!S:S)</f>
        <v>1814673081.8618133</v>
      </c>
      <c r="G26" s="88" t="str">
        <f t="shared" si="0"/>
        <v/>
      </c>
      <c r="H26" t="s">
        <v>63</v>
      </c>
      <c r="I26" t="s">
        <v>63</v>
      </c>
      <c r="J26" t="s">
        <v>63</v>
      </c>
      <c r="K26" s="92" t="s">
        <v>63</v>
      </c>
      <c r="M26" s="88">
        <f t="shared" si="1"/>
        <v>19</v>
      </c>
      <c r="N26" t="s">
        <v>124</v>
      </c>
      <c r="O26" s="117" t="s">
        <v>125</v>
      </c>
      <c r="P26" t="s">
        <v>63</v>
      </c>
      <c r="Q26" s="92" t="s">
        <v>35</v>
      </c>
    </row>
    <row r="27" spans="1:17" hidden="1" x14ac:dyDescent="0.25">
      <c r="C27" s="118"/>
      <c r="D27" s="119"/>
      <c r="E27" s="119"/>
      <c r="G27" s="88" t="str">
        <f t="shared" si="0"/>
        <v/>
      </c>
      <c r="H27" t="s">
        <v>63</v>
      </c>
      <c r="I27" t="s">
        <v>63</v>
      </c>
      <c r="J27" t="s">
        <v>63</v>
      </c>
      <c r="K27" s="92" t="s">
        <v>63</v>
      </c>
      <c r="M27" s="88">
        <f t="shared" si="1"/>
        <v>20</v>
      </c>
      <c r="N27" t="s">
        <v>126</v>
      </c>
      <c r="O27" s="122" t="s">
        <v>127</v>
      </c>
      <c r="P27" t="s">
        <v>63</v>
      </c>
      <c r="Q27" s="92" t="s">
        <v>35</v>
      </c>
    </row>
    <row r="28" spans="1:17" ht="18.75" hidden="1" x14ac:dyDescent="0.25">
      <c r="B28" s="681" t="s">
        <v>128</v>
      </c>
      <c r="C28" s="682"/>
      <c r="D28" s="682"/>
      <c r="E28" s="683"/>
      <c r="G28" s="88" t="str">
        <f t="shared" si="0"/>
        <v/>
      </c>
      <c r="H28" t="s">
        <v>63</v>
      </c>
      <c r="I28" t="s">
        <v>63</v>
      </c>
      <c r="J28" t="s">
        <v>63</v>
      </c>
      <c r="K28" s="92" t="s">
        <v>63</v>
      </c>
      <c r="M28" s="88">
        <f t="shared" si="1"/>
        <v>21</v>
      </c>
      <c r="N28" t="s">
        <v>129</v>
      </c>
      <c r="O28" s="122" t="s">
        <v>130</v>
      </c>
      <c r="P28" t="s">
        <v>63</v>
      </c>
      <c r="Q28" s="92" t="s">
        <v>35</v>
      </c>
    </row>
    <row r="29" spans="1:17" ht="15.75" hidden="1" thickBot="1" x14ac:dyDescent="0.3">
      <c r="B29" s="123" t="s">
        <v>31</v>
      </c>
      <c r="C29" s="124" t="s">
        <v>13</v>
      </c>
      <c r="D29" s="124" t="s">
        <v>104</v>
      </c>
      <c r="E29" s="125" t="s">
        <v>105</v>
      </c>
      <c r="G29" s="88" t="str">
        <f t="shared" si="0"/>
        <v/>
      </c>
      <c r="H29" s="120" t="s">
        <v>63</v>
      </c>
      <c r="I29" t="s">
        <v>63</v>
      </c>
      <c r="J29" t="s">
        <v>63</v>
      </c>
      <c r="K29" s="92" t="s">
        <v>63</v>
      </c>
      <c r="M29" s="88">
        <f t="shared" si="1"/>
        <v>22</v>
      </c>
      <c r="N29" t="s">
        <v>131</v>
      </c>
      <c r="O29" s="122" t="s">
        <v>132</v>
      </c>
      <c r="P29" t="s">
        <v>63</v>
      </c>
      <c r="Q29" s="92" t="s">
        <v>35</v>
      </c>
    </row>
    <row r="30" spans="1:17" hidden="1" x14ac:dyDescent="0.25">
      <c r="B30" s="126" t="s">
        <v>31</v>
      </c>
      <c r="C30" s="112">
        <f>COUNTIF('Non-State'!J:J,B30)+COUNTIF(State!J:J,B30)</f>
        <v>50</v>
      </c>
      <c r="D30" s="91">
        <f>SUMIF('Non-State'!J:J,$B30,'Non-State'!BD:BD)+SUMIF(State!J:J,$B30,State!U:U)</f>
        <v>31241427.926278599</v>
      </c>
      <c r="E30" s="92">
        <f>SUMIF('Non-State'!J:J,B30,'Non-State'!CH:CH)+SUMIF(State!J:J,$B30,State!S:S)</f>
        <v>167034424.91999999</v>
      </c>
      <c r="G30" s="88" t="str">
        <f t="shared" si="0"/>
        <v/>
      </c>
      <c r="H30" t="s">
        <v>63</v>
      </c>
      <c r="I30" t="s">
        <v>63</v>
      </c>
      <c r="J30" t="s">
        <v>63</v>
      </c>
      <c r="K30" s="92" t="s">
        <v>63</v>
      </c>
      <c r="M30" s="88">
        <f t="shared" si="1"/>
        <v>23</v>
      </c>
      <c r="N30" t="s">
        <v>133</v>
      </c>
      <c r="O30" s="122" t="s">
        <v>134</v>
      </c>
      <c r="P30" t="s">
        <v>31</v>
      </c>
      <c r="Q30" s="92" t="s">
        <v>35</v>
      </c>
    </row>
    <row r="31" spans="1:17" ht="15.75" hidden="1" thickBot="1" x14ac:dyDescent="0.3">
      <c r="B31" s="113" t="s">
        <v>35</v>
      </c>
      <c r="C31" s="114">
        <f>COUNTIF('Non-State'!J:J,B31)+COUNTIF(State!J:J,B31)</f>
        <v>111</v>
      </c>
      <c r="D31" s="115">
        <f>SUMIF('Non-State'!J:J,$B31,'Non-State'!BD:BD)+SUMIF(State!J:J,$B31,State!U:U)</f>
        <v>700208883.90904796</v>
      </c>
      <c r="E31" s="116">
        <f>SUMIF('Non-State'!J:J,B31,'Non-State'!CH:CH)+SUMIF(State!J:J,$B31,State!S:S)</f>
        <v>1940152248.9269354</v>
      </c>
      <c r="G31" s="88" t="str">
        <f t="shared" si="0"/>
        <v/>
      </c>
      <c r="H31" t="s">
        <v>63</v>
      </c>
      <c r="I31" t="s">
        <v>63</v>
      </c>
      <c r="J31" t="s">
        <v>63</v>
      </c>
      <c r="K31" s="92" t="s">
        <v>63</v>
      </c>
      <c r="M31" s="88">
        <f t="shared" si="1"/>
        <v>24</v>
      </c>
      <c r="N31" t="s">
        <v>135</v>
      </c>
      <c r="O31" s="122" t="s">
        <v>136</v>
      </c>
      <c r="P31" t="s">
        <v>31</v>
      </c>
      <c r="Q31" s="92" t="s">
        <v>35</v>
      </c>
    </row>
    <row r="32" spans="1:17" ht="15.75" hidden="1" thickBot="1" x14ac:dyDescent="0.3">
      <c r="B32"/>
      <c r="C32" s="118"/>
      <c r="D32" s="119"/>
      <c r="E32" s="119"/>
      <c r="G32" s="113" t="str">
        <f t="shared" si="0"/>
        <v/>
      </c>
      <c r="H32" s="127" t="s">
        <v>63</v>
      </c>
      <c r="I32" s="114" t="s">
        <v>63</v>
      </c>
      <c r="J32" s="115" t="s">
        <v>63</v>
      </c>
      <c r="K32" s="116" t="s">
        <v>63</v>
      </c>
      <c r="M32" s="113">
        <f t="shared" si="1"/>
        <v>25</v>
      </c>
      <c r="N32" s="127" t="s">
        <v>137</v>
      </c>
      <c r="O32" s="128" t="s">
        <v>138</v>
      </c>
      <c r="P32" s="115" t="s">
        <v>63</v>
      </c>
      <c r="Q32" s="116" t="s">
        <v>35</v>
      </c>
    </row>
    <row r="33" spans="2:15" ht="18.75" hidden="1" x14ac:dyDescent="0.25">
      <c r="B33" s="671" t="s">
        <v>139</v>
      </c>
      <c r="C33" s="672"/>
      <c r="D33" s="672"/>
      <c r="E33" s="673"/>
      <c r="O33" s="129"/>
    </row>
    <row r="34" spans="2:15" ht="15.75" hidden="1" thickBot="1" x14ac:dyDescent="0.3">
      <c r="B34" s="109" t="s">
        <v>140</v>
      </c>
      <c r="C34" s="110" t="s">
        <v>13</v>
      </c>
      <c r="D34" s="110" t="s">
        <v>104</v>
      </c>
      <c r="E34" s="130" t="s">
        <v>105</v>
      </c>
      <c r="O34" s="129"/>
    </row>
    <row r="35" spans="2:15" hidden="1" x14ac:dyDescent="0.25">
      <c r="B35" s="88" t="s">
        <v>37</v>
      </c>
      <c r="C35" s="112">
        <f>COUNTIF('Non-State'!K:K,B35)+COUNTIF(State!K:K,B35)</f>
        <v>3</v>
      </c>
      <c r="D35" s="91">
        <f>SUMIF('Non-State'!K:K,$B35,'Non-State'!BD:BD)+SUMIF(State!K:K,$B35,State!U:U)</f>
        <v>0</v>
      </c>
      <c r="E35" s="92">
        <f>SUMIF('Non-State'!K:K,B35,'Non-State'!CH:CH)+SUMIF(State!K:K,$B35,State!S:S)</f>
        <v>23941868.919999998</v>
      </c>
      <c r="O35" s="129"/>
    </row>
    <row r="36" spans="2:15" ht="15.75" hidden="1" thickBot="1" x14ac:dyDescent="0.3">
      <c r="B36" s="113" t="s">
        <v>35</v>
      </c>
      <c r="C36" s="114">
        <f>COUNTIF('Non-State'!K:K,B36)+COUNTIF(State!K:K,B36)</f>
        <v>158</v>
      </c>
      <c r="D36" s="115">
        <f>SUMIF('Non-State'!K:K,$B36,'Non-State'!BD:BD)+SUMIF(State!K:K,$B36,State!U:U)</f>
        <v>731450311.83532643</v>
      </c>
      <c r="E36" s="116">
        <f>SUMIF('Non-State'!K:K,B36,'Non-State'!CH:CH)+SUMIF(State!K:K,$B36,State!S:S)</f>
        <v>2083244804.9269361</v>
      </c>
      <c r="O36" s="129"/>
    </row>
    <row r="37" spans="2:15" ht="15.75" thickBot="1" x14ac:dyDescent="0.3">
      <c r="C37" s="118"/>
      <c r="D37" s="119"/>
      <c r="E37" s="119"/>
    </row>
    <row r="38" spans="2:15" x14ac:dyDescent="0.25">
      <c r="B38" s="131" t="s">
        <v>141</v>
      </c>
    </row>
    <row r="39" spans="2:15" ht="15.75" x14ac:dyDescent="0.3">
      <c r="B39" s="132" t="s">
        <v>142</v>
      </c>
      <c r="C39" s="133" t="s">
        <v>143</v>
      </c>
      <c r="D39" s="134" t="s">
        <v>144</v>
      </c>
      <c r="E39" s="135" t="s">
        <v>24</v>
      </c>
      <c r="F39" s="133" t="s">
        <v>145</v>
      </c>
      <c r="G39" s="134" t="s">
        <v>146</v>
      </c>
      <c r="H39" s="136" t="s">
        <v>104</v>
      </c>
      <c r="I39" s="136" t="s">
        <v>147</v>
      </c>
      <c r="J39" s="137" t="s">
        <v>24</v>
      </c>
    </row>
    <row r="40" spans="2:15" x14ac:dyDescent="0.25">
      <c r="B40" s="138" t="s">
        <v>148</v>
      </c>
      <c r="C40" s="139">
        <v>0</v>
      </c>
      <c r="D40" s="73">
        <f>SUMIFS(State!Y:Y,State!M:M,"Yes")-SUMIFS(State!Z:Z,State!M:M,"Yes")</f>
        <v>169942563.84999996</v>
      </c>
      <c r="E40" s="36">
        <f>SUM(C40:D40)</f>
        <v>169942563.84999996</v>
      </c>
      <c r="F40" s="140">
        <v>0</v>
      </c>
      <c r="G40" s="73">
        <f>SUMIFS(State!Z:Z,State!M:M,"Yes")</f>
        <v>92031482</v>
      </c>
      <c r="H40" s="141">
        <f>SUM(F40:G40)</f>
        <v>92031482</v>
      </c>
      <c r="I40" s="142"/>
      <c r="J40" s="143">
        <f>E40+H40</f>
        <v>261974045.84999996</v>
      </c>
      <c r="K40" s="144"/>
      <c r="L40" s="145"/>
    </row>
    <row r="41" spans="2:15" ht="15.75" thickBot="1" x14ac:dyDescent="0.3">
      <c r="B41" s="146" t="s">
        <v>149</v>
      </c>
      <c r="C41" s="140">
        <v>0</v>
      </c>
      <c r="D41" s="73">
        <f>SUMIFS(State!Y:Y,State!L:L,"Yes")-SUMIFS(State!Z:Z,State!L:L,"Yes")</f>
        <v>62661226</v>
      </c>
      <c r="E41" s="36">
        <f t="shared" ref="E41:E44" si="2">SUM(C41:D41)</f>
        <v>62661226</v>
      </c>
      <c r="F41" s="140">
        <v>0</v>
      </c>
      <c r="G41" s="73">
        <f>SUMIFS(State!Z:Z,State!L:L,"Yes")</f>
        <v>33933851</v>
      </c>
      <c r="H41" s="147">
        <f t="shared" ref="H41:H44" si="3">SUM(F41:G41)</f>
        <v>33933851</v>
      </c>
      <c r="I41" s="148"/>
      <c r="J41" s="143">
        <f>E41+H41</f>
        <v>96595077</v>
      </c>
      <c r="K41" s="144"/>
    </row>
    <row r="42" spans="2:15" x14ac:dyDescent="0.25">
      <c r="B42" s="149" t="s">
        <v>150</v>
      </c>
      <c r="C42" s="150">
        <f>SUM(C40:C41)</f>
        <v>0</v>
      </c>
      <c r="D42" s="151">
        <f t="shared" ref="D42:J42" si="4">SUM(D40:D41)</f>
        <v>232603789.84999996</v>
      </c>
      <c r="E42" s="152">
        <f t="shared" si="4"/>
        <v>232603789.84999996</v>
      </c>
      <c r="F42" s="150">
        <f t="shared" si="4"/>
        <v>0</v>
      </c>
      <c r="G42" s="151">
        <f t="shared" si="4"/>
        <v>125965333</v>
      </c>
      <c r="H42" s="153">
        <f t="shared" si="4"/>
        <v>125965333</v>
      </c>
      <c r="I42" s="154">
        <f t="shared" si="4"/>
        <v>0</v>
      </c>
      <c r="J42" s="155">
        <f t="shared" si="4"/>
        <v>358569122.84999996</v>
      </c>
      <c r="K42" s="144"/>
    </row>
    <row r="43" spans="2:15" ht="30" hidden="1" x14ac:dyDescent="0.25">
      <c r="B43" s="156" t="s">
        <v>151</v>
      </c>
      <c r="C43" s="157">
        <v>0</v>
      </c>
      <c r="D43" s="158"/>
      <c r="E43" s="159"/>
      <c r="F43" s="160"/>
      <c r="G43" s="158"/>
      <c r="H43" s="161"/>
      <c r="I43" s="162"/>
      <c r="J43" s="163"/>
      <c r="K43" s="144"/>
    </row>
    <row r="44" spans="2:15" s="172" customFormat="1" hidden="1" x14ac:dyDescent="0.25">
      <c r="B44" s="164" t="s">
        <v>152</v>
      </c>
      <c r="C44" s="165">
        <f>SUM(C40:C41,C43)</f>
        <v>0</v>
      </c>
      <c r="D44" s="166">
        <f>SUM(D40:D41)</f>
        <v>232603789.84999996</v>
      </c>
      <c r="E44" s="167">
        <f t="shared" si="2"/>
        <v>232603789.84999996</v>
      </c>
      <c r="F44" s="165">
        <f>SUM(F40:F41)</f>
        <v>0</v>
      </c>
      <c r="G44" s="166">
        <f>SUM(G40:G41)</f>
        <v>125965333</v>
      </c>
      <c r="H44" s="168">
        <f t="shared" si="3"/>
        <v>125965333</v>
      </c>
      <c r="I44" s="169"/>
      <c r="J44" s="170">
        <f>SUM(J40:J41)</f>
        <v>358569122.84999996</v>
      </c>
      <c r="K44" s="171"/>
      <c r="L44" s="171"/>
    </row>
    <row r="45" spans="2:15" hidden="1" x14ac:dyDescent="0.25">
      <c r="B45"/>
      <c r="C45" s="148"/>
      <c r="D45" s="148"/>
      <c r="E45" s="148"/>
      <c r="F45" s="148"/>
      <c r="L45" s="173"/>
    </row>
    <row r="46" spans="2:15" hidden="1" x14ac:dyDescent="0.25">
      <c r="B46" s="131" t="s">
        <v>153</v>
      </c>
      <c r="C46" s="148"/>
      <c r="D46" s="148"/>
      <c r="E46" s="148"/>
      <c r="F46" s="148"/>
    </row>
    <row r="47" spans="2:15" hidden="1" x14ac:dyDescent="0.25">
      <c r="B47" s="684" t="s">
        <v>142</v>
      </c>
      <c r="C47" s="686" t="s">
        <v>144</v>
      </c>
      <c r="D47" s="679" t="s">
        <v>154</v>
      </c>
      <c r="E47" s="679" t="s">
        <v>155</v>
      </c>
      <c r="F47" s="679" t="s">
        <v>156</v>
      </c>
    </row>
    <row r="48" spans="2:15" ht="15.75" hidden="1" thickBot="1" x14ac:dyDescent="0.3">
      <c r="B48" s="685"/>
      <c r="C48" s="687"/>
      <c r="D48" s="680"/>
      <c r="E48" s="680"/>
      <c r="F48" s="680"/>
      <c r="K48" s="145">
        <f>L40-J73</f>
        <v>0</v>
      </c>
    </row>
    <row r="49" spans="2:15" hidden="1" x14ac:dyDescent="0.25">
      <c r="B49" s="138" t="s">
        <v>157</v>
      </c>
      <c r="C49" s="174">
        <f>SUMIFS('Non-State'!BL:BL,'Non-State'!CP:CP,B49)-SUMIFS('Non-State'!BR:BR,'Non-State'!CP:CP,B49)</f>
        <v>331531584.39999998</v>
      </c>
      <c r="D49" s="142">
        <f>SUMIFS('Non-State'!BR:BR,'Non-State'!CP:CP,B49)</f>
        <v>541606701.68999994</v>
      </c>
      <c r="E49" s="142">
        <f>SUMIFS('Non-State'!CA:CA,'Non-State'!CP:CP,B49)</f>
        <v>0</v>
      </c>
      <c r="F49" s="175">
        <f t="shared" ref="F49:F54" si="5">C49+D49+E49</f>
        <v>873138286.08999991</v>
      </c>
      <c r="K49" s="176"/>
    </row>
    <row r="50" spans="2:15" hidden="1" x14ac:dyDescent="0.25">
      <c r="B50" s="138" t="s">
        <v>36</v>
      </c>
      <c r="C50" s="177">
        <f>SUMIFS('Non-State'!BL:BL,'Non-State'!CP:CP,B50)-SUMIFS('Non-State'!BR:BR,'Non-State'!CP:CP,B50)</f>
        <v>23941868.919999998</v>
      </c>
      <c r="D50" s="148">
        <f>SUMIFS('Non-State'!BR:BR,'Non-State'!CP:CP,B50)</f>
        <v>0</v>
      </c>
      <c r="E50" s="148">
        <f>SUMIFS('Non-State'!CA:CA,'Non-State'!CP:CP,B50)</f>
        <v>0</v>
      </c>
      <c r="F50" s="178">
        <f t="shared" si="5"/>
        <v>23941868.919999998</v>
      </c>
    </row>
    <row r="51" spans="2:15" hidden="1" x14ac:dyDescent="0.25">
      <c r="B51" s="138" t="s">
        <v>158</v>
      </c>
      <c r="C51" s="177">
        <f>SUMIFS('Non-State'!BL:BL,'Non-State'!CP:CP,B51)-SUMIFS('Non-State'!BR:BR,'Non-State'!CP:CP,B51)</f>
        <v>57689479.890000008</v>
      </c>
      <c r="D51" s="148">
        <f>SUMIFS('Non-State'!BR:BR,'Non-State'!CP:CP,B51)</f>
        <v>31241427.93</v>
      </c>
      <c r="E51" s="148">
        <f>SUMIFS('Non-State'!CA:CA,'Non-State'!CP:CP,B51)</f>
        <v>0</v>
      </c>
      <c r="F51" s="178">
        <f t="shared" si="5"/>
        <v>88930907.820000008</v>
      </c>
    </row>
    <row r="52" spans="2:15" hidden="1" x14ac:dyDescent="0.25">
      <c r="B52" s="138" t="s">
        <v>159</v>
      </c>
      <c r="C52" s="177">
        <f>SUMIFS('Non-State'!BL:BL,'Non-State'!CP:CP,B52)-SUMIFS('Non-State'!BR:BR,'Non-State'!CP:CP,B52)</f>
        <v>60266222.829999998</v>
      </c>
      <c r="D52" s="148">
        <f>SUMIFS('Non-State'!BR:BR,'Non-State'!CP:CP,B52)</f>
        <v>32636849.220000003</v>
      </c>
      <c r="E52" s="148">
        <f>SUMIFS('Non-State'!CA:CA,'Non-State'!CP:CP,B52)</f>
        <v>0</v>
      </c>
      <c r="F52" s="178">
        <f t="shared" si="5"/>
        <v>92903072.049999997</v>
      </c>
    </row>
    <row r="53" spans="2:15" hidden="1" x14ac:dyDescent="0.25">
      <c r="B53" s="138" t="s">
        <v>160</v>
      </c>
      <c r="C53" s="177">
        <f>SUMIFS('Non-State'!BL:BL,'Non-State'!CP:CP,B53)-SUMIFS('Non-State'!BR:BR,'Non-State'!CP:CP,B53)</f>
        <v>61845638.430000007</v>
      </c>
      <c r="D53" s="148">
        <f>SUMIFS('Non-State'!BR:BR,'Non-State'!CP:CP,B53)</f>
        <v>0</v>
      </c>
      <c r="E53" s="148">
        <f>'Non-State'!CF9+'Non-State'!CG9</f>
        <v>25062245.521812856</v>
      </c>
      <c r="F53" s="178">
        <f t="shared" si="5"/>
        <v>86907883.951812863</v>
      </c>
    </row>
    <row r="54" spans="2:15" hidden="1" x14ac:dyDescent="0.25">
      <c r="B54" s="138" t="s">
        <v>161</v>
      </c>
      <c r="C54" s="179">
        <f>SUMIFS('Non-State'!BL:BL,'Non-State'!CP:CP,B54)-SUMIFS('Non-State'!BR:BR,'Non-State'!CP:CP,B54)</f>
        <v>582795532.17999995</v>
      </c>
      <c r="D54" s="180">
        <f>SUMIFS('Non-State'!BR:BR,'Non-State'!CP:CP,B54)</f>
        <v>0</v>
      </c>
      <c r="E54" s="180">
        <f>SUMIFS('Non-State'!CA:CA,'Non-State'!CP:CP,B54)</f>
        <v>0</v>
      </c>
      <c r="F54" s="181">
        <f t="shared" si="5"/>
        <v>582795532.17999995</v>
      </c>
    </row>
    <row r="55" spans="2:15" hidden="1" x14ac:dyDescent="0.25">
      <c r="B55" s="182" t="s">
        <v>162</v>
      </c>
      <c r="C55" s="183">
        <f>SUM(C49:C54)</f>
        <v>1118070326.6499999</v>
      </c>
      <c r="D55" s="183">
        <f>SUM(D49:D54)</f>
        <v>605484978.83999991</v>
      </c>
      <c r="E55" s="183">
        <f>SUM(E49:E54)</f>
        <v>25062245.521812856</v>
      </c>
      <c r="F55" s="184">
        <f>SUM(F49:F54)</f>
        <v>1748617551.0118127</v>
      </c>
    </row>
    <row r="57" spans="2:15" x14ac:dyDescent="0.25">
      <c r="L57" s="145"/>
    </row>
    <row r="58" spans="2:15" ht="15.75" x14ac:dyDescent="0.3">
      <c r="B58" s="132" t="s">
        <v>142</v>
      </c>
      <c r="C58" s="185" t="s">
        <v>143</v>
      </c>
      <c r="D58" s="185" t="s">
        <v>144</v>
      </c>
      <c r="E58" s="136" t="s">
        <v>24</v>
      </c>
      <c r="F58" s="186" t="s">
        <v>145</v>
      </c>
      <c r="G58" s="185" t="s">
        <v>146</v>
      </c>
      <c r="H58" s="136" t="s">
        <v>104</v>
      </c>
      <c r="I58" s="136" t="s">
        <v>163</v>
      </c>
      <c r="J58" s="137" t="s">
        <v>24</v>
      </c>
    </row>
    <row r="59" spans="2:15" x14ac:dyDescent="0.25">
      <c r="B59" s="187" t="s">
        <v>157</v>
      </c>
      <c r="C59" s="188">
        <v>0</v>
      </c>
      <c r="D59" s="188">
        <f>C49</f>
        <v>331531584.39999998</v>
      </c>
      <c r="E59" s="189">
        <f>SUM(C59:D59)</f>
        <v>331531584.39999998</v>
      </c>
      <c r="F59" s="139">
        <v>0</v>
      </c>
      <c r="G59" s="188">
        <f>D49</f>
        <v>541606701.68999994</v>
      </c>
      <c r="H59" s="189">
        <f>SUM(F59:G59)</f>
        <v>541606701.68999994</v>
      </c>
      <c r="J59" s="190">
        <f>E59+H59+I59</f>
        <v>873138286.08999991</v>
      </c>
      <c r="K59" s="145"/>
      <c r="O59" s="145"/>
    </row>
    <row r="60" spans="2:15" x14ac:dyDescent="0.25">
      <c r="B60" s="187" t="s">
        <v>36</v>
      </c>
      <c r="C60" s="73">
        <v>0</v>
      </c>
      <c r="D60" s="73">
        <f t="shared" ref="D60:D64" si="6">C50</f>
        <v>23941868.919999998</v>
      </c>
      <c r="E60" s="36">
        <f t="shared" ref="E60:E67" si="7">SUM(C60:D60)</f>
        <v>23941868.919999998</v>
      </c>
      <c r="F60" s="140">
        <v>0</v>
      </c>
      <c r="G60" s="73">
        <f t="shared" ref="G60:G64" si="8">D50</f>
        <v>0</v>
      </c>
      <c r="H60" s="36">
        <f t="shared" ref="H60:H64" si="9">SUM(F60:G60)</f>
        <v>0</v>
      </c>
      <c r="J60" s="143">
        <f t="shared" ref="J60:J64" si="10">E60+H60+I60</f>
        <v>23941868.919999998</v>
      </c>
      <c r="O60" s="145"/>
    </row>
    <row r="61" spans="2:15" x14ac:dyDescent="0.25">
      <c r="B61" s="187" t="s">
        <v>158</v>
      </c>
      <c r="C61" s="73">
        <v>0</v>
      </c>
      <c r="D61" s="73">
        <f t="shared" si="6"/>
        <v>57689479.890000008</v>
      </c>
      <c r="E61" s="36">
        <f t="shared" si="7"/>
        <v>57689479.890000008</v>
      </c>
      <c r="F61" s="140">
        <v>0</v>
      </c>
      <c r="G61" s="73">
        <f t="shared" si="8"/>
        <v>31241427.93</v>
      </c>
      <c r="H61" s="36">
        <f t="shared" si="9"/>
        <v>31241427.93</v>
      </c>
      <c r="I61" s="191">
        <f>'Non-State'!CA9</f>
        <v>0</v>
      </c>
      <c r="J61" s="143">
        <f t="shared" si="10"/>
        <v>88930907.820000008</v>
      </c>
      <c r="O61" s="145"/>
    </row>
    <row r="62" spans="2:15" x14ac:dyDescent="0.25">
      <c r="B62" s="187" t="s">
        <v>159</v>
      </c>
      <c r="C62" s="73">
        <v>0</v>
      </c>
      <c r="D62" s="73">
        <f t="shared" si="6"/>
        <v>60266222.829999998</v>
      </c>
      <c r="E62" s="36">
        <f>SUM(C62:D62)</f>
        <v>60266222.829999998</v>
      </c>
      <c r="F62" s="140">
        <v>0</v>
      </c>
      <c r="G62" s="73">
        <f t="shared" si="8"/>
        <v>32636849.220000003</v>
      </c>
      <c r="H62" s="36">
        <f t="shared" si="9"/>
        <v>32636849.220000003</v>
      </c>
      <c r="J62" s="143">
        <f t="shared" si="10"/>
        <v>92903072.049999997</v>
      </c>
      <c r="O62" s="145"/>
    </row>
    <row r="63" spans="2:15" x14ac:dyDescent="0.25">
      <c r="B63" s="187" t="s">
        <v>160</v>
      </c>
      <c r="C63" s="73">
        <v>0</v>
      </c>
      <c r="D63" s="73">
        <f t="shared" si="6"/>
        <v>61845638.430000007</v>
      </c>
      <c r="E63" s="36">
        <f t="shared" si="7"/>
        <v>61845638.430000007</v>
      </c>
      <c r="F63" s="140">
        <v>0</v>
      </c>
      <c r="G63" s="73">
        <f t="shared" si="8"/>
        <v>0</v>
      </c>
      <c r="H63" s="36">
        <f t="shared" si="9"/>
        <v>0</v>
      </c>
      <c r="I63" s="191">
        <f>'Non-State'!CF9+'Non-State'!CG9</f>
        <v>25062245.521812856</v>
      </c>
      <c r="J63" s="143">
        <f t="shared" si="10"/>
        <v>86907883.951812863</v>
      </c>
      <c r="O63" s="145"/>
    </row>
    <row r="64" spans="2:15" x14ac:dyDescent="0.25">
      <c r="B64" s="187" t="s">
        <v>161</v>
      </c>
      <c r="C64" s="73">
        <v>0</v>
      </c>
      <c r="D64" s="73">
        <f t="shared" si="6"/>
        <v>582795532.17999995</v>
      </c>
      <c r="E64" s="36">
        <f t="shared" si="7"/>
        <v>582795532.17999995</v>
      </c>
      <c r="F64" s="140">
        <v>0</v>
      </c>
      <c r="G64" s="73">
        <f t="shared" si="8"/>
        <v>0</v>
      </c>
      <c r="H64" s="36">
        <f t="shared" si="9"/>
        <v>0</v>
      </c>
      <c r="J64" s="143">
        <f t="shared" si="10"/>
        <v>582795532.17999995</v>
      </c>
      <c r="O64" s="145"/>
    </row>
    <row r="65" spans="2:15" x14ac:dyDescent="0.25">
      <c r="B65" s="149" t="s">
        <v>164</v>
      </c>
      <c r="C65" s="192">
        <f>SUM(C59:C64)</f>
        <v>0</v>
      </c>
      <c r="D65" s="151">
        <f>'Non-State'!BL9-'Non-State'!BP9</f>
        <v>1118070326.6713629</v>
      </c>
      <c r="E65" s="152">
        <f>SUM(C65:D65)</f>
        <v>1118070326.6713629</v>
      </c>
      <c r="F65" s="193">
        <f>SUM(F59:F64)</f>
        <v>0</v>
      </c>
      <c r="G65" s="151">
        <f>D55</f>
        <v>605484978.83999991</v>
      </c>
      <c r="H65" s="194">
        <f>SUM(H59:H64)</f>
        <v>605484978.83999991</v>
      </c>
      <c r="I65" s="195">
        <f>I61+I63</f>
        <v>25062245.521812856</v>
      </c>
      <c r="J65" s="155">
        <f>H65+E65+I65</f>
        <v>1748617551.0331757</v>
      </c>
      <c r="O65" s="145"/>
    </row>
    <row r="66" spans="2:15" ht="30" hidden="1" x14ac:dyDescent="0.25">
      <c r="B66" s="156" t="s">
        <v>151</v>
      </c>
      <c r="C66" s="196"/>
      <c r="D66" s="196"/>
      <c r="E66" s="197"/>
      <c r="F66" s="198"/>
      <c r="G66" s="196"/>
      <c r="H66" s="197"/>
      <c r="I66" s="199"/>
      <c r="J66" s="200"/>
    </row>
    <row r="67" spans="2:15" hidden="1" x14ac:dyDescent="0.25">
      <c r="B67" s="149" t="s">
        <v>162</v>
      </c>
      <c r="C67" s="151">
        <v>0</v>
      </c>
      <c r="D67" s="151">
        <f>D65</f>
        <v>1118070326.6713629</v>
      </c>
      <c r="E67" s="152">
        <f t="shared" si="7"/>
        <v>1118070326.6713629</v>
      </c>
      <c r="F67" s="201">
        <v>0</v>
      </c>
      <c r="G67" s="151">
        <f>G65</f>
        <v>605484978.83999991</v>
      </c>
      <c r="H67" s="152">
        <f>G67+F67</f>
        <v>605484978.83999991</v>
      </c>
      <c r="I67" s="202">
        <f>I65</f>
        <v>25062245.521812856</v>
      </c>
      <c r="J67" s="203">
        <f>I67+H67+E67</f>
        <v>1748617551.0331757</v>
      </c>
    </row>
    <row r="68" spans="2:15" hidden="1" x14ac:dyDescent="0.25">
      <c r="D68" s="145"/>
      <c r="E68" s="145"/>
      <c r="G68" s="145"/>
      <c r="H68" s="145"/>
      <c r="I68" s="204" t="s">
        <v>165</v>
      </c>
      <c r="J68" s="145">
        <f>SUM(E67,H67)</f>
        <v>1723555305.5113628</v>
      </c>
      <c r="K68" s="145"/>
      <c r="L68" s="145"/>
    </row>
    <row r="69" spans="2:15" hidden="1" x14ac:dyDescent="0.25">
      <c r="B69" s="205" t="s">
        <v>166</v>
      </c>
      <c r="C69" s="206">
        <v>0</v>
      </c>
      <c r="D69" s="205"/>
      <c r="E69" s="206"/>
      <c r="F69" s="206">
        <v>0</v>
      </c>
      <c r="G69" s="205"/>
      <c r="H69" s="206"/>
      <c r="I69" s="69"/>
      <c r="J69" s="207"/>
    </row>
    <row r="70" spans="2:15" ht="30" hidden="1" x14ac:dyDescent="0.25">
      <c r="B70" s="208" t="s">
        <v>151</v>
      </c>
      <c r="C70"/>
      <c r="E70"/>
      <c r="I70" s="176"/>
    </row>
    <row r="71" spans="2:15" x14ac:dyDescent="0.25">
      <c r="C71" s="145"/>
      <c r="E71" s="209"/>
      <c r="F71" s="145"/>
      <c r="H71" s="209"/>
      <c r="I71" s="210"/>
      <c r="J71" s="211"/>
    </row>
    <row r="72" spans="2:15" ht="15.75" x14ac:dyDescent="0.25">
      <c r="B72" s="212" t="s">
        <v>167</v>
      </c>
      <c r="C72" s="213">
        <f>C65+C44</f>
        <v>0</v>
      </c>
      <c r="D72" s="214">
        <f t="shared" ref="D72:J72" si="11">D65+D44</f>
        <v>1350674116.5213628</v>
      </c>
      <c r="E72" s="215">
        <f t="shared" si="11"/>
        <v>1350674116.5213628</v>
      </c>
      <c r="F72" s="216">
        <f t="shared" si="11"/>
        <v>0</v>
      </c>
      <c r="G72" s="214">
        <f t="shared" si="11"/>
        <v>731450311.83999991</v>
      </c>
      <c r="H72" s="214">
        <f t="shared" si="11"/>
        <v>731450311.83999991</v>
      </c>
      <c r="I72" s="217">
        <f t="shared" si="11"/>
        <v>25062245.521812856</v>
      </c>
      <c r="J72" s="218">
        <f t="shared" si="11"/>
        <v>2107186673.8831756</v>
      </c>
    </row>
    <row r="73" spans="2:15" x14ac:dyDescent="0.25">
      <c r="C73"/>
      <c r="I73" s="204"/>
      <c r="J73" s="173"/>
    </row>
    <row r="74" spans="2:15" x14ac:dyDescent="0.25">
      <c r="C74" s="176"/>
      <c r="E74" s="219"/>
      <c r="F74" s="145"/>
      <c r="J74" s="173"/>
      <c r="K74" s="220"/>
    </row>
    <row r="75" spans="2:15" x14ac:dyDescent="0.25">
      <c r="C75"/>
      <c r="F75" s="145"/>
      <c r="J75" s="176"/>
    </row>
    <row r="76" spans="2:15" x14ac:dyDescent="0.25">
      <c r="C76"/>
      <c r="F76" s="145"/>
      <c r="K76" s="220"/>
    </row>
    <row r="77" spans="2:15" x14ac:dyDescent="0.25">
      <c r="C77"/>
      <c r="E77" s="117"/>
      <c r="J77" s="176"/>
    </row>
    <row r="78" spans="2:15" x14ac:dyDescent="0.25">
      <c r="C78"/>
      <c r="E78" s="117"/>
    </row>
    <row r="79" spans="2:15" x14ac:dyDescent="0.25">
      <c r="C79"/>
      <c r="E79" s="117"/>
    </row>
    <row r="80" spans="2:15" x14ac:dyDescent="0.25">
      <c r="C80"/>
      <c r="E80" s="221"/>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row r="111" spans="3:3" x14ac:dyDescent="0.25">
      <c r="C111"/>
    </row>
    <row r="112" spans="3:3"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row r="120" spans="3:3" x14ac:dyDescent="0.25">
      <c r="C120"/>
    </row>
    <row r="121" spans="3:3" x14ac:dyDescent="0.25">
      <c r="C121"/>
    </row>
    <row r="122" spans="3:3" x14ac:dyDescent="0.25">
      <c r="C122"/>
    </row>
    <row r="123" spans="3:3" x14ac:dyDescent="0.25">
      <c r="C123"/>
    </row>
    <row r="124" spans="3:3" x14ac:dyDescent="0.25">
      <c r="C124"/>
    </row>
    <row r="125" spans="3:3" x14ac:dyDescent="0.25">
      <c r="C125"/>
    </row>
    <row r="126" spans="3:3" x14ac:dyDescent="0.25">
      <c r="C126"/>
    </row>
    <row r="127" spans="3:3" x14ac:dyDescent="0.25">
      <c r="C127"/>
    </row>
    <row r="128" spans="3:3" x14ac:dyDescent="0.25">
      <c r="C128"/>
    </row>
    <row r="129" spans="3:3" x14ac:dyDescent="0.25">
      <c r="C129"/>
    </row>
    <row r="130" spans="3:3" x14ac:dyDescent="0.25">
      <c r="C130"/>
    </row>
    <row r="131" spans="3:3" x14ac:dyDescent="0.25">
      <c r="C131"/>
    </row>
    <row r="132" spans="3:3" x14ac:dyDescent="0.25">
      <c r="C132"/>
    </row>
    <row r="133" spans="3:3" x14ac:dyDescent="0.25">
      <c r="C133"/>
    </row>
    <row r="134" spans="3:3" x14ac:dyDescent="0.25">
      <c r="C134"/>
    </row>
    <row r="135" spans="3:3" x14ac:dyDescent="0.25">
      <c r="C135"/>
    </row>
    <row r="136" spans="3:3" x14ac:dyDescent="0.25">
      <c r="C136"/>
    </row>
    <row r="137" spans="3:3" x14ac:dyDescent="0.25">
      <c r="C137"/>
    </row>
    <row r="138" spans="3:3" x14ac:dyDescent="0.25">
      <c r="C138"/>
    </row>
    <row r="139" spans="3:3" x14ac:dyDescent="0.25">
      <c r="C139"/>
    </row>
    <row r="140" spans="3:3" x14ac:dyDescent="0.25">
      <c r="C140"/>
    </row>
    <row r="141" spans="3:3" x14ac:dyDescent="0.25">
      <c r="C141"/>
    </row>
    <row r="142" spans="3:3" x14ac:dyDescent="0.25">
      <c r="C142"/>
    </row>
    <row r="143" spans="3:3" x14ac:dyDescent="0.25">
      <c r="C143"/>
    </row>
    <row r="144" spans="3:3"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row r="179" spans="3:3" x14ac:dyDescent="0.25">
      <c r="C179"/>
    </row>
    <row r="180" spans="3:3" x14ac:dyDescent="0.25">
      <c r="C180"/>
    </row>
    <row r="181" spans="3:3" x14ac:dyDescent="0.25">
      <c r="C181"/>
    </row>
    <row r="182" spans="3:3" x14ac:dyDescent="0.25">
      <c r="C182"/>
    </row>
    <row r="183" spans="3:3" x14ac:dyDescent="0.25">
      <c r="C183"/>
    </row>
    <row r="184" spans="3:3" x14ac:dyDescent="0.25">
      <c r="C184"/>
    </row>
    <row r="185" spans="3:3" x14ac:dyDescent="0.25">
      <c r="C185"/>
    </row>
    <row r="186" spans="3:3" x14ac:dyDescent="0.25">
      <c r="C186"/>
    </row>
    <row r="187" spans="3:3" x14ac:dyDescent="0.25">
      <c r="C187"/>
    </row>
    <row r="188" spans="3:3" x14ac:dyDescent="0.25">
      <c r="C188"/>
    </row>
    <row r="189" spans="3:3" x14ac:dyDescent="0.25">
      <c r="C189"/>
    </row>
    <row r="190" spans="3:3" x14ac:dyDescent="0.25">
      <c r="C190"/>
    </row>
    <row r="191" spans="3:3" x14ac:dyDescent="0.25">
      <c r="C191"/>
    </row>
    <row r="192" spans="3:3" x14ac:dyDescent="0.25">
      <c r="C192"/>
    </row>
    <row r="193" spans="3:3" x14ac:dyDescent="0.25">
      <c r="C193"/>
    </row>
    <row r="194" spans="3:3" x14ac:dyDescent="0.25">
      <c r="C194"/>
    </row>
    <row r="195" spans="3:3" x14ac:dyDescent="0.25">
      <c r="C195"/>
    </row>
    <row r="196" spans="3:3" x14ac:dyDescent="0.25">
      <c r="C196"/>
    </row>
    <row r="197" spans="3:3" x14ac:dyDescent="0.25">
      <c r="C197"/>
    </row>
    <row r="198" spans="3:3" x14ac:dyDescent="0.25">
      <c r="C198"/>
    </row>
    <row r="199" spans="3:3" x14ac:dyDescent="0.25">
      <c r="C199"/>
    </row>
    <row r="200" spans="3:3" x14ac:dyDescent="0.25">
      <c r="C200"/>
    </row>
    <row r="201" spans="3:3" x14ac:dyDescent="0.25">
      <c r="C201"/>
    </row>
    <row r="202" spans="3:3" x14ac:dyDescent="0.25">
      <c r="C202"/>
    </row>
    <row r="203" spans="3:3" x14ac:dyDescent="0.25">
      <c r="C203"/>
    </row>
    <row r="204" spans="3:3" x14ac:dyDescent="0.25">
      <c r="C204"/>
    </row>
    <row r="205" spans="3:3" x14ac:dyDescent="0.25">
      <c r="C205"/>
    </row>
    <row r="206" spans="3:3" x14ac:dyDescent="0.25">
      <c r="C206"/>
    </row>
    <row r="207" spans="3:3" x14ac:dyDescent="0.25">
      <c r="C207"/>
    </row>
    <row r="208" spans="3:3" x14ac:dyDescent="0.25">
      <c r="C208"/>
    </row>
    <row r="209" spans="3:3" x14ac:dyDescent="0.25">
      <c r="C209"/>
    </row>
    <row r="210" spans="3:3" x14ac:dyDescent="0.25">
      <c r="C210"/>
    </row>
    <row r="211" spans="3:3" x14ac:dyDescent="0.25">
      <c r="C211"/>
    </row>
    <row r="212" spans="3:3" x14ac:dyDescent="0.25">
      <c r="C212"/>
    </row>
    <row r="213" spans="3:3" x14ac:dyDescent="0.25">
      <c r="C213"/>
    </row>
    <row r="214" spans="3:3" x14ac:dyDescent="0.25">
      <c r="C214"/>
    </row>
    <row r="215" spans="3:3" x14ac:dyDescent="0.25">
      <c r="C215"/>
    </row>
    <row r="216" spans="3:3" x14ac:dyDescent="0.25">
      <c r="C216"/>
    </row>
    <row r="217" spans="3:3" x14ac:dyDescent="0.25">
      <c r="C217"/>
    </row>
    <row r="218" spans="3:3" x14ac:dyDescent="0.25">
      <c r="C218"/>
    </row>
    <row r="219" spans="3:3" x14ac:dyDescent="0.25">
      <c r="C219"/>
    </row>
    <row r="220" spans="3:3" x14ac:dyDescent="0.25">
      <c r="C220"/>
    </row>
    <row r="221" spans="3:3" x14ac:dyDescent="0.25">
      <c r="C221"/>
    </row>
    <row r="222" spans="3:3" x14ac:dyDescent="0.25">
      <c r="C222"/>
    </row>
    <row r="223" spans="3:3" x14ac:dyDescent="0.25">
      <c r="C223"/>
    </row>
    <row r="224" spans="3:3" x14ac:dyDescent="0.25">
      <c r="C224"/>
    </row>
    <row r="225" spans="3:3" x14ac:dyDescent="0.25">
      <c r="C225"/>
    </row>
    <row r="226" spans="3:3" x14ac:dyDescent="0.25">
      <c r="C226"/>
    </row>
    <row r="227" spans="3:3" x14ac:dyDescent="0.25">
      <c r="C227"/>
    </row>
    <row r="228" spans="3:3" x14ac:dyDescent="0.25">
      <c r="C228"/>
    </row>
    <row r="229" spans="3:3" x14ac:dyDescent="0.25">
      <c r="C229"/>
    </row>
    <row r="230" spans="3:3" x14ac:dyDescent="0.25">
      <c r="C230"/>
    </row>
    <row r="231" spans="3:3" x14ac:dyDescent="0.25">
      <c r="C231"/>
    </row>
    <row r="232" spans="3:3" x14ac:dyDescent="0.25">
      <c r="C232"/>
    </row>
    <row r="233" spans="3:3" x14ac:dyDescent="0.25">
      <c r="C233"/>
    </row>
  </sheetData>
  <mergeCells count="13">
    <mergeCell ref="F47:F48"/>
    <mergeCell ref="B28:E28"/>
    <mergeCell ref="B33:E33"/>
    <mergeCell ref="B47:B48"/>
    <mergeCell ref="C47:C48"/>
    <mergeCell ref="D47:D48"/>
    <mergeCell ref="E47:E48"/>
    <mergeCell ref="B23:E23"/>
    <mergeCell ref="B6:E6"/>
    <mergeCell ref="G6:K6"/>
    <mergeCell ref="M6:Q6"/>
    <mergeCell ref="B8:C8"/>
    <mergeCell ref="B17:E17"/>
  </mergeCells>
  <conditionalFormatting sqref="L9:L13">
    <cfRule type="expression" dxfId="64" priority="1">
      <formula>(L9&lt;&gt;K9)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7232-7A20-4FFB-BE1D-7EC343DBA38C}">
  <sheetPr codeName="Sheet12">
    <tabColor theme="0" tint="-0.14999847407452621"/>
  </sheetPr>
  <dimension ref="A1:Q48"/>
  <sheetViews>
    <sheetView showGridLines="0" tabSelected="1" topLeftCell="A4" zoomScale="80" zoomScaleNormal="80" workbookViewId="0">
      <selection activeCell="M35" sqref="M35"/>
    </sheetView>
  </sheetViews>
  <sheetFormatPr defaultColWidth="8.7109375" defaultRowHeight="15" x14ac:dyDescent="0.25"/>
  <cols>
    <col min="1" max="1" width="2.140625" style="12" customWidth="1"/>
    <col min="2" max="2" width="31.42578125" style="12" customWidth="1"/>
    <col min="3" max="3" width="17.140625" style="12" bestFit="1" customWidth="1"/>
    <col min="4" max="4" width="12.85546875" style="12" customWidth="1"/>
    <col min="5" max="5" width="12.5703125" style="12" customWidth="1"/>
    <col min="6" max="6" width="21.140625" style="12" customWidth="1"/>
    <col min="7" max="7" width="18.5703125" style="12" customWidth="1"/>
    <col min="8" max="10" width="4" style="12" customWidth="1"/>
    <col min="11" max="11" width="34.5703125" style="12" customWidth="1"/>
    <col min="12" max="12" width="36.42578125" style="12" customWidth="1"/>
    <col min="13" max="13" width="17.7109375" style="12" customWidth="1"/>
    <col min="14" max="14" width="17.140625" style="12" customWidth="1"/>
    <col min="15" max="15" width="11.5703125" style="12" bestFit="1" customWidth="1"/>
    <col min="16" max="16" width="23.28515625" style="12" bestFit="1" customWidth="1"/>
    <col min="17" max="16384" width="8.7109375" style="12"/>
  </cols>
  <sheetData>
    <row r="1" spans="1:17" s="3" customFormat="1" ht="21" x14ac:dyDescent="0.35">
      <c r="A1" s="1" t="s">
        <v>168</v>
      </c>
    </row>
    <row r="2" spans="1:17" s="6" customFormat="1" ht="1.5" customHeight="1" x14ac:dyDescent="0.35">
      <c r="A2" s="222"/>
    </row>
    <row r="3" spans="1:17" x14ac:dyDescent="0.25">
      <c r="A3" s="7" t="s">
        <v>169</v>
      </c>
      <c r="B3" s="223"/>
      <c r="E3" s="691" t="s">
        <v>3</v>
      </c>
      <c r="F3" s="692"/>
      <c r="G3" s="693" t="s">
        <v>170</v>
      </c>
      <c r="H3" s="693"/>
      <c r="I3" s="693"/>
      <c r="J3" s="693"/>
      <c r="K3" s="224" t="s">
        <v>171</v>
      </c>
    </row>
    <row r="4" spans="1:17" x14ac:dyDescent="0.25">
      <c r="A4" s="7" t="s">
        <v>172</v>
      </c>
      <c r="B4" s="223"/>
      <c r="E4" s="694" t="s">
        <v>173</v>
      </c>
      <c r="F4" s="694"/>
      <c r="G4" s="695" t="s">
        <v>174</v>
      </c>
      <c r="H4" s="695"/>
      <c r="I4" s="695"/>
      <c r="J4" s="695"/>
    </row>
    <row r="5" spans="1:17" ht="19.5" thickBot="1" x14ac:dyDescent="0.35">
      <c r="A5" s="13" t="s">
        <v>175</v>
      </c>
      <c r="B5" s="223"/>
    </row>
    <row r="6" spans="1:17" ht="19.5" thickBot="1" x14ac:dyDescent="0.35">
      <c r="A6" s="7"/>
      <c r="B6" s="696" t="s">
        <v>176</v>
      </c>
      <c r="C6" s="697"/>
      <c r="D6" s="697"/>
      <c r="E6" s="697"/>
      <c r="F6" s="697"/>
      <c r="G6" s="697"/>
      <c r="H6" s="698"/>
      <c r="K6" s="688" t="s">
        <v>177</v>
      </c>
      <c r="L6" s="689"/>
      <c r="M6" s="689"/>
      <c r="N6" s="690"/>
      <c r="P6" s="225" t="s">
        <v>178</v>
      </c>
    </row>
    <row r="7" spans="1:17" ht="19.5" thickBot="1" x14ac:dyDescent="0.35">
      <c r="B7" s="226"/>
      <c r="C7" s="699" t="s">
        <v>179</v>
      </c>
      <c r="D7" s="227"/>
      <c r="E7" s="227"/>
      <c r="F7" s="227"/>
      <c r="G7" s="699" t="str">
        <f>C9-1&amp;" DSH Data"</f>
        <v>2022 DSH Data</v>
      </c>
      <c r="H7" s="228"/>
      <c r="K7" s="229"/>
      <c r="L7" s="230" t="s">
        <v>24</v>
      </c>
      <c r="M7" s="231" t="s">
        <v>180</v>
      </c>
      <c r="N7" s="232" t="s">
        <v>21</v>
      </c>
      <c r="P7" s="233"/>
      <c r="Q7" s="12" t="s">
        <v>181</v>
      </c>
    </row>
    <row r="8" spans="1:17" ht="18" thickBot="1" x14ac:dyDescent="0.3">
      <c r="B8" s="226"/>
      <c r="C8" s="699"/>
      <c r="D8" s="234"/>
      <c r="E8" s="235"/>
      <c r="F8" s="227"/>
      <c r="G8" s="700"/>
      <c r="H8" s="228"/>
      <c r="K8" s="236" t="s">
        <v>182</v>
      </c>
      <c r="L8" s="237">
        <f>SUM(M8:N8)</f>
        <v>1</v>
      </c>
      <c r="M8" s="237">
        <f>C11</f>
        <v>0.64870000000000005</v>
      </c>
      <c r="N8" s="238">
        <f>C12</f>
        <v>0.35129999999999995</v>
      </c>
    </row>
    <row r="9" spans="1:17" ht="15.95" customHeight="1" x14ac:dyDescent="0.25">
      <c r="B9" s="239" t="s">
        <v>183</v>
      </c>
      <c r="C9" s="240">
        <v>2023</v>
      </c>
      <c r="D9" s="241"/>
      <c r="E9" s="701" t="str">
        <f xml:space="preserve"> C9-1 &amp; " Pass 3 Set Aside:"</f>
        <v>2022 Pass 3 Set Aside:</v>
      </c>
      <c r="F9" s="702"/>
      <c r="G9" s="703">
        <v>45827140.490000002</v>
      </c>
      <c r="H9" s="228"/>
      <c r="K9" s="236" t="s">
        <v>184</v>
      </c>
      <c r="L9" s="243">
        <f>ROUND(M9/M8,0)</f>
        <v>2107186673</v>
      </c>
      <c r="M9" s="244">
        <f>C15*(1-C13)</f>
        <v>1366931994.7751002</v>
      </c>
      <c r="N9" s="245">
        <f>L9-M9</f>
        <v>740254678.22489977</v>
      </c>
      <c r="O9" s="12" t="str">
        <f>IF(ROUND(N9+M9,0)=ROUND(L9,0),"","CHECK FOR ERROR")</f>
        <v/>
      </c>
    </row>
    <row r="10" spans="1:17" ht="15.95" customHeight="1" x14ac:dyDescent="0.25">
      <c r="B10" s="239" t="s">
        <v>185</v>
      </c>
      <c r="C10" s="246">
        <v>12</v>
      </c>
      <c r="D10" s="241"/>
      <c r="E10" s="701"/>
      <c r="F10" s="702"/>
      <c r="G10" s="704"/>
      <c r="H10" s="228"/>
      <c r="K10" s="236"/>
      <c r="L10" s="243"/>
      <c r="M10" s="245"/>
      <c r="N10" s="245"/>
    </row>
    <row r="11" spans="1:17" ht="16.5" thickBot="1" x14ac:dyDescent="0.3">
      <c r="B11" s="239" t="s">
        <v>186</v>
      </c>
      <c r="C11" s="247">
        <v>0.64870000000000005</v>
      </c>
      <c r="D11" s="241"/>
      <c r="E11" s="701"/>
      <c r="F11" s="702"/>
      <c r="G11" s="704"/>
      <c r="H11" s="228"/>
      <c r="K11" s="236" t="s">
        <v>187</v>
      </c>
      <c r="L11" s="248">
        <f>C16*(1-C13)</f>
        <v>292513592</v>
      </c>
      <c r="M11" s="249">
        <f>ROUND(L11*M8,0)</f>
        <v>189753567</v>
      </c>
      <c r="N11" s="245">
        <f>L11-M11</f>
        <v>102760025</v>
      </c>
      <c r="O11" s="12" t="str">
        <f t="shared" ref="O11:O13" si="0">IF(ROUND(N11+M11,0)=ROUND(L11,0),"","CHECK FOR ERROR")</f>
        <v/>
      </c>
    </row>
    <row r="12" spans="1:17" ht="16.5" thickBot="1" x14ac:dyDescent="0.3">
      <c r="B12" s="239" t="s">
        <v>188</v>
      </c>
      <c r="C12" s="250">
        <f>1-C11</f>
        <v>0.35129999999999995</v>
      </c>
      <c r="D12" s="241"/>
      <c r="E12" s="251"/>
      <c r="F12" s="252"/>
      <c r="G12" s="253"/>
      <c r="H12" s="228"/>
      <c r="K12" s="236"/>
      <c r="L12" s="254"/>
      <c r="M12" s="255"/>
      <c r="N12" s="256"/>
      <c r="O12" s="12" t="str">
        <f t="shared" si="0"/>
        <v/>
      </c>
    </row>
    <row r="13" spans="1:17" ht="15.95" customHeight="1" x14ac:dyDescent="0.25">
      <c r="B13" s="239" t="s">
        <v>189</v>
      </c>
      <c r="C13" s="247">
        <v>0</v>
      </c>
      <c r="D13" s="241"/>
      <c r="E13" s="701" t="str">
        <f>C9-1 &amp;" Total DSH Allotment:"</f>
        <v>2022 Total DSH Allotment:</v>
      </c>
      <c r="F13" s="702"/>
      <c r="G13" s="703">
        <v>1926530079</v>
      </c>
      <c r="H13" s="228"/>
      <c r="K13" s="257" t="s">
        <v>190</v>
      </c>
      <c r="L13" s="258">
        <f>G9*G17</f>
        <v>50124491.049914561</v>
      </c>
      <c r="M13" s="249">
        <f>L13*M8</f>
        <v>32515757.34407958</v>
      </c>
      <c r="N13" s="245">
        <f>L13*N8</f>
        <v>17608733.705834981</v>
      </c>
      <c r="O13" s="12" t="str">
        <f t="shared" si="0"/>
        <v/>
      </c>
    </row>
    <row r="14" spans="1:17" ht="18.95" customHeight="1" thickBot="1" x14ac:dyDescent="0.3">
      <c r="B14" s="239" t="s">
        <v>191</v>
      </c>
      <c r="C14" s="259">
        <v>2107186673</v>
      </c>
      <c r="D14" s="241"/>
      <c r="E14" s="701"/>
      <c r="F14" s="702"/>
      <c r="G14" s="704"/>
      <c r="H14" s="228"/>
      <c r="K14" s="257" t="s">
        <v>192</v>
      </c>
      <c r="L14" s="258">
        <f>'Non-State'!CF9+'Non-State'!CG9+'Non-State'!CA9</f>
        <v>25062245.521812856</v>
      </c>
      <c r="M14" s="249">
        <f>L14-N14</f>
        <v>16257878.670000002</v>
      </c>
      <c r="N14" s="245">
        <f>'Non-State'!CB9+'Non-State'!CG9</f>
        <v>8804366.8518128544</v>
      </c>
      <c r="O14" s="12" t="str">
        <f>IF(ROUND(N15+M15,0)=ROUND(L15,0),"","CHECK FOR ERROR")</f>
        <v/>
      </c>
    </row>
    <row r="15" spans="1:17" ht="18.95" customHeight="1" x14ac:dyDescent="0.25">
      <c r="B15" s="239" t="s">
        <v>193</v>
      </c>
      <c r="C15" s="260">
        <f>C14*C11</f>
        <v>1366931994.7751002</v>
      </c>
      <c r="D15" s="241"/>
      <c r="E15" s="242"/>
      <c r="F15" s="242"/>
      <c r="G15" s="261"/>
      <c r="H15" s="228"/>
      <c r="K15" s="236"/>
      <c r="L15" s="254"/>
      <c r="M15" s="255"/>
      <c r="N15" s="256"/>
      <c r="O15" s="12" t="str">
        <f>IF(ROUND(N16+M16,0)=ROUND(L16,0),"","CHECK FOR ERROR")</f>
        <v/>
      </c>
    </row>
    <row r="16" spans="1:17" ht="15.75" x14ac:dyDescent="0.25">
      <c r="B16" s="239" t="s">
        <v>194</v>
      </c>
      <c r="C16" s="259">
        <v>292513592</v>
      </c>
      <c r="D16" s="241"/>
      <c r="E16" s="251"/>
      <c r="F16" s="252"/>
      <c r="G16" s="262"/>
      <c r="H16" s="228"/>
      <c r="K16" s="236" t="s">
        <v>195</v>
      </c>
      <c r="L16" s="263">
        <f>State!T5</f>
        <v>96595077</v>
      </c>
      <c r="M16" s="264">
        <f>L16-N16</f>
        <v>62661226</v>
      </c>
      <c r="N16" s="265">
        <f>State!U5</f>
        <v>33933851</v>
      </c>
      <c r="O16" s="12" t="str">
        <f>IF(ROUND(N17+M17,0)=ROUND(L17,0),"","CHECK FOR ERROR")</f>
        <v/>
      </c>
    </row>
    <row r="17" spans="2:15" ht="15.6" customHeight="1" x14ac:dyDescent="0.25">
      <c r="B17" s="239" t="s">
        <v>196</v>
      </c>
      <c r="C17" s="259">
        <v>0</v>
      </c>
      <c r="D17" s="241"/>
      <c r="E17" s="705" t="str">
        <f>"DSH Allotment"&amp;IF(G17&lt;1," Decrease "," Increase ")&amp; C9-1&amp;"-"&amp;C9&amp;":"</f>
        <v>DSH Allotment Increase 2022-2023:</v>
      </c>
      <c r="F17" s="705"/>
      <c r="G17" s="706">
        <f>C14/G13</f>
        <v>1.0937730461461432</v>
      </c>
      <c r="H17" s="228"/>
      <c r="K17" s="236" t="s">
        <v>197</v>
      </c>
      <c r="L17" s="263">
        <f>State!T6</f>
        <v>261974045.83512259</v>
      </c>
      <c r="M17" s="266">
        <f>L17-N17</f>
        <v>169942563.83512259</v>
      </c>
      <c r="N17" s="265">
        <f>State!U6</f>
        <v>92031482</v>
      </c>
      <c r="O17" s="12" t="str">
        <f>IF(ROUND(N18+M18,0)=ROUND(L18,0),"","CHECK FOR ERROR")</f>
        <v/>
      </c>
    </row>
    <row r="18" spans="2:15" ht="15.6" customHeight="1" x14ac:dyDescent="0.25">
      <c r="B18" s="708" t="s">
        <v>198</v>
      </c>
      <c r="C18" s="709">
        <v>1</v>
      </c>
      <c r="D18" s="241"/>
      <c r="E18" s="705"/>
      <c r="F18" s="705"/>
      <c r="G18" s="707"/>
      <c r="H18" s="228"/>
      <c r="K18" s="236" t="s">
        <v>152</v>
      </c>
      <c r="L18" s="267">
        <f>L17+L16</f>
        <v>358569122.83512259</v>
      </c>
      <c r="M18" s="267">
        <f>M17+M16</f>
        <v>232603789.83512259</v>
      </c>
      <c r="N18" s="268">
        <f>N17+N16</f>
        <v>125965333</v>
      </c>
      <c r="O18" s="12" t="str">
        <f>IF(ROUND(N19+M19,0)=ROUND(L19,0),"","CHECK FOR ERROR")</f>
        <v/>
      </c>
    </row>
    <row r="19" spans="2:15" ht="15.95" customHeight="1" x14ac:dyDescent="0.25">
      <c r="B19" s="708"/>
      <c r="C19" s="710"/>
      <c r="D19" s="241"/>
      <c r="E19" s="269"/>
      <c r="F19" s="269"/>
      <c r="G19" s="270"/>
      <c r="H19" s="228"/>
      <c r="K19" s="271" t="s">
        <v>199</v>
      </c>
      <c r="L19" s="272">
        <f>L9-L18-L14</f>
        <v>1723555304.6430645</v>
      </c>
      <c r="M19" s="272">
        <f t="shared" ref="M19:N19" si="1">M9-M18-M14</f>
        <v>1118070326.2699776</v>
      </c>
      <c r="N19" s="273">
        <f t="shared" si="1"/>
        <v>605484978.37308693</v>
      </c>
    </row>
    <row r="20" spans="2:15" ht="16.5" customHeight="1" x14ac:dyDescent="0.25">
      <c r="B20" s="226"/>
      <c r="C20" s="269"/>
      <c r="D20" s="269"/>
      <c r="E20" s="269"/>
      <c r="F20" s="274" t="s">
        <v>200</v>
      </c>
      <c r="G20" s="275">
        <v>0.9</v>
      </c>
      <c r="H20" s="228"/>
      <c r="K20" s="236"/>
      <c r="L20" s="276"/>
      <c r="M20" s="255"/>
      <c r="N20" s="256"/>
    </row>
    <row r="21" spans="2:15" ht="16.5" customHeight="1" thickBot="1" x14ac:dyDescent="0.3">
      <c r="B21" s="226"/>
      <c r="C21" s="269"/>
      <c r="D21" s="269"/>
      <c r="E21" s="269"/>
      <c r="F21" s="274"/>
      <c r="G21" s="274"/>
      <c r="H21" s="228"/>
      <c r="K21" s="236" t="s">
        <v>201</v>
      </c>
      <c r="L21" s="277">
        <f>N21/N$8</f>
        <v>1723555304.2217109</v>
      </c>
      <c r="M21" s="264">
        <f>ROUND(M$8*$L21,0)</f>
        <v>1118070326</v>
      </c>
      <c r="N21" s="278">
        <f>N19</f>
        <v>605484978.37308693</v>
      </c>
    </row>
    <row r="22" spans="2:15" ht="16.5" customHeight="1" thickBot="1" x14ac:dyDescent="0.3">
      <c r="B22" s="226"/>
      <c r="C22" s="269"/>
      <c r="D22" s="269"/>
      <c r="E22" s="269"/>
      <c r="F22" s="274" t="s">
        <v>202</v>
      </c>
      <c r="G22" s="279">
        <v>0.87834999999999996</v>
      </c>
      <c r="H22" s="228"/>
      <c r="K22" s="236" t="s">
        <v>203</v>
      </c>
      <c r="L22" s="277">
        <f>N22/N$8</f>
        <v>0</v>
      </c>
      <c r="M22" s="264">
        <f>ROUND(M$8*$L22,0)</f>
        <v>0</v>
      </c>
      <c r="N22" s="245">
        <f>C17*(1-C13)</f>
        <v>0</v>
      </c>
    </row>
    <row r="23" spans="2:15" ht="16.5" customHeight="1" x14ac:dyDescent="0.25">
      <c r="B23" s="280"/>
      <c r="C23" s="281"/>
      <c r="D23" s="282"/>
      <c r="E23" s="282"/>
      <c r="F23" s="282"/>
      <c r="G23" s="283"/>
      <c r="H23" s="284"/>
      <c r="K23" s="236" t="s">
        <v>204</v>
      </c>
      <c r="L23" s="285">
        <f>SUM(L21:L22)</f>
        <v>1723555304.2217109</v>
      </c>
      <c r="M23" s="285">
        <f>SUM(M21:M22)</f>
        <v>1118070326</v>
      </c>
      <c r="N23" s="286">
        <f>SUM(N21:N22)</f>
        <v>605484978.37308693</v>
      </c>
    </row>
    <row r="24" spans="2:15" ht="18.75" x14ac:dyDescent="0.25">
      <c r="B24" s="287"/>
      <c r="C24" s="288"/>
      <c r="D24" s="289"/>
      <c r="E24" s="289"/>
      <c r="F24" s="290"/>
      <c r="G24" s="290"/>
      <c r="H24" s="290"/>
      <c r="K24" s="291" t="s">
        <v>205</v>
      </c>
      <c r="L24" s="292">
        <f>SUM(L23,L18)</f>
        <v>2082124427.0568335</v>
      </c>
      <c r="M24" s="292">
        <f>SUM(M23,M18)</f>
        <v>1350674115.8351226</v>
      </c>
      <c r="N24" s="293">
        <f>SUM(N23,N18)</f>
        <v>731450311.37308693</v>
      </c>
    </row>
    <row r="25" spans="2:15" ht="18.75" x14ac:dyDescent="0.25">
      <c r="B25" s="696" t="s">
        <v>206</v>
      </c>
      <c r="C25" s="697"/>
      <c r="D25" s="697"/>
      <c r="E25" s="697"/>
      <c r="F25" s="697"/>
      <c r="G25" s="697"/>
      <c r="H25" s="698"/>
      <c r="L25" s="294"/>
      <c r="M25" s="295">
        <f>'Summary Dashboard'!E72-'Assumption Inputs'!M24</f>
        <v>0.68624019622802734</v>
      </c>
    </row>
    <row r="26" spans="2:15" ht="16.5" customHeight="1" x14ac:dyDescent="0.25">
      <c r="B26" s="227"/>
      <c r="C26" s="711" t="s">
        <v>207</v>
      </c>
      <c r="D26" s="227"/>
      <c r="E26" s="296"/>
      <c r="F26" s="227"/>
      <c r="G26" s="711" t="s">
        <v>208</v>
      </c>
      <c r="H26" s="227"/>
    </row>
    <row r="27" spans="2:15" ht="18.600000000000001" customHeight="1" thickBot="1" x14ac:dyDescent="0.3">
      <c r="B27" s="252"/>
      <c r="C27" s="711"/>
      <c r="D27" s="227"/>
      <c r="E27" s="227"/>
      <c r="F27" s="227"/>
      <c r="G27" s="711"/>
      <c r="H27" s="227"/>
      <c r="K27" s="297"/>
      <c r="L27" s="298" t="s">
        <v>209</v>
      </c>
      <c r="M27" s="299"/>
      <c r="N27" s="300"/>
    </row>
    <row r="28" spans="2:15" x14ac:dyDescent="0.25">
      <c r="B28" s="301" t="s">
        <v>210</v>
      </c>
      <c r="C28" s="302">
        <f>L21</f>
        <v>1723555304.2217109</v>
      </c>
      <c r="D28" s="270"/>
      <c r="E28" s="712" t="s">
        <v>211</v>
      </c>
      <c r="F28" s="713"/>
      <c r="G28" s="303">
        <f>'Non-State'!AS5</f>
        <v>179539148.45094439</v>
      </c>
      <c r="H28" s="304"/>
      <c r="L28" s="305" t="s">
        <v>212</v>
      </c>
      <c r="M28" s="306">
        <f>C16</f>
        <v>292513592</v>
      </c>
      <c r="N28" s="307"/>
      <c r="O28" s="294"/>
    </row>
    <row r="29" spans="2:15" x14ac:dyDescent="0.25">
      <c r="B29" s="308" t="s">
        <v>213</v>
      </c>
      <c r="C29" s="309">
        <f>N21</f>
        <v>605484978.37308693</v>
      </c>
      <c r="D29" s="270"/>
      <c r="E29" s="714" t="s">
        <v>214</v>
      </c>
      <c r="F29" s="715"/>
      <c r="G29" s="310">
        <f>'Non-State'!AS6+'Non-State'!AS7+'Non-State'!AS8</f>
        <v>63878277.140387192</v>
      </c>
      <c r="H29" s="304"/>
      <c r="K29" s="311"/>
      <c r="L29" s="312" t="s">
        <v>215</v>
      </c>
      <c r="M29" s="313">
        <f>ROUND(State!AA7+'Non-State'!AZ4,-1)</f>
        <v>292513590</v>
      </c>
      <c r="N29" s="314"/>
      <c r="O29" s="290"/>
    </row>
    <row r="30" spans="2:15" ht="15.75" thickBot="1" x14ac:dyDescent="0.3">
      <c r="B30" s="315" t="s">
        <v>216</v>
      </c>
      <c r="C30" s="309">
        <f>C28-C29</f>
        <v>1118070325.848624</v>
      </c>
      <c r="D30" s="270"/>
      <c r="E30" s="716" t="s">
        <v>217</v>
      </c>
      <c r="F30" s="717"/>
      <c r="G30" s="316">
        <f>C29-G28-G29</f>
        <v>362067552.78175533</v>
      </c>
      <c r="H30" s="304"/>
      <c r="L30" s="317" t="s">
        <v>218</v>
      </c>
      <c r="M30" s="318" t="b">
        <f>M29&lt;=M28</f>
        <v>1</v>
      </c>
    </row>
    <row r="31" spans="2:15" x14ac:dyDescent="0.25">
      <c r="B31" s="319"/>
      <c r="C31" s="270"/>
      <c r="D31" s="270"/>
      <c r="E31" s="270"/>
      <c r="F31" s="270"/>
      <c r="G31" s="270"/>
      <c r="H31" s="270"/>
      <c r="K31" s="320"/>
      <c r="L31" s="320"/>
      <c r="M31" s="320"/>
      <c r="N31" s="320"/>
      <c r="O31" s="290"/>
    </row>
    <row r="32" spans="2:15" s="320" customFormat="1" ht="15.75" thickBot="1" x14ac:dyDescent="0.3">
      <c r="B32" s="321"/>
      <c r="C32" s="321"/>
      <c r="D32" s="321"/>
      <c r="E32" s="716" t="s">
        <v>219</v>
      </c>
      <c r="F32" s="717"/>
      <c r="G32" s="322">
        <f>C18</f>
        <v>1</v>
      </c>
      <c r="H32" s="321"/>
      <c r="K32" s="12"/>
      <c r="L32" s="298" t="s">
        <v>220</v>
      </c>
      <c r="M32" s="12"/>
      <c r="N32" s="12"/>
      <c r="O32" s="323"/>
    </row>
    <row r="33" spans="2:14" x14ac:dyDescent="0.25">
      <c r="B33" s="227"/>
      <c r="C33" s="227"/>
      <c r="D33" s="227"/>
      <c r="E33" s="716" t="s">
        <v>221</v>
      </c>
      <c r="F33" s="717"/>
      <c r="G33" s="324">
        <f>1+((1-M8)*G32)</f>
        <v>1.3512999999999999</v>
      </c>
      <c r="H33" s="227"/>
      <c r="L33" s="325" t="s">
        <v>222</v>
      </c>
      <c r="M33" s="326">
        <f>IF((M29-M28)&gt;0,M29-M28,0)</f>
        <v>0</v>
      </c>
      <c r="N33" s="327"/>
    </row>
    <row r="34" spans="2:14" x14ac:dyDescent="0.25">
      <c r="B34" s="227"/>
      <c r="C34" s="227"/>
      <c r="D34" s="227"/>
      <c r="E34" s="227"/>
      <c r="F34" s="227"/>
      <c r="G34" s="227"/>
      <c r="H34" s="227"/>
      <c r="L34" s="328" t="s">
        <v>223</v>
      </c>
      <c r="M34" s="329">
        <f>L17</f>
        <v>261974045.83512259</v>
      </c>
    </row>
    <row r="35" spans="2:14" ht="15.75" thickBot="1" x14ac:dyDescent="0.3">
      <c r="B35" s="227"/>
      <c r="C35" s="227"/>
      <c r="D35" s="227"/>
      <c r="E35" s="227"/>
      <c r="F35" s="227"/>
      <c r="G35" s="227"/>
      <c r="H35" s="227"/>
      <c r="L35" s="330" t="s">
        <v>224</v>
      </c>
      <c r="M35" s="331">
        <f>(M34-M33)/M34</f>
        <v>1</v>
      </c>
    </row>
    <row r="36" spans="2:14" x14ac:dyDescent="0.25">
      <c r="G36" s="290"/>
      <c r="H36" s="290"/>
    </row>
    <row r="37" spans="2:14" ht="18.75" x14ac:dyDescent="0.25">
      <c r="B37" s="696" t="s">
        <v>225</v>
      </c>
      <c r="C37" s="697"/>
      <c r="D37" s="697"/>
      <c r="E37" s="697"/>
      <c r="F37" s="697"/>
      <c r="G37" s="697"/>
      <c r="H37" s="698"/>
    </row>
    <row r="38" spans="2:14" ht="33.6" customHeight="1" x14ac:dyDescent="0.25">
      <c r="B38" s="227"/>
      <c r="C38" s="711"/>
      <c r="D38" s="227"/>
      <c r="E38" s="296"/>
      <c r="F38" s="227"/>
      <c r="G38" s="711"/>
      <c r="H38" s="227"/>
      <c r="M38" s="332"/>
      <c r="N38" s="332"/>
    </row>
    <row r="39" spans="2:14" x14ac:dyDescent="0.25">
      <c r="B39" s="274" t="s">
        <v>226</v>
      </c>
      <c r="C39" s="711"/>
      <c r="D39" s="227"/>
      <c r="E39" s="227"/>
      <c r="F39" s="227"/>
      <c r="G39" s="711"/>
      <c r="H39" s="227"/>
      <c r="N39" s="333"/>
    </row>
    <row r="40" spans="2:14" x14ac:dyDescent="0.25">
      <c r="B40" s="301" t="s">
        <v>227</v>
      </c>
      <c r="C40" s="302">
        <v>8000000</v>
      </c>
      <c r="D40" s="270"/>
      <c r="E40" s="712"/>
      <c r="F40" s="713"/>
      <c r="G40" s="303"/>
      <c r="H40" s="304"/>
    </row>
    <row r="41" spans="2:14" x14ac:dyDescent="0.25">
      <c r="B41" s="308" t="s">
        <v>228</v>
      </c>
      <c r="C41" s="309">
        <v>6000000</v>
      </c>
      <c r="D41" s="270"/>
      <c r="E41" s="714"/>
      <c r="F41" s="715"/>
      <c r="G41" s="310"/>
      <c r="H41" s="304"/>
      <c r="N41" s="334"/>
    </row>
    <row r="42" spans="2:14" x14ac:dyDescent="0.25">
      <c r="B42" s="315"/>
      <c r="C42" s="335"/>
      <c r="D42" s="270"/>
      <c r="E42" s="716"/>
      <c r="F42" s="717"/>
      <c r="G42" s="316"/>
      <c r="H42" s="304"/>
    </row>
    <row r="43" spans="2:14" x14ac:dyDescent="0.25">
      <c r="B43" s="274" t="s">
        <v>229</v>
      </c>
      <c r="C43" s="259">
        <v>292513592</v>
      </c>
      <c r="D43" s="270"/>
      <c r="E43" s="270"/>
      <c r="F43" s="270"/>
      <c r="G43" s="270"/>
      <c r="H43" s="270"/>
    </row>
    <row r="44" spans="2:14" x14ac:dyDescent="0.25">
      <c r="B44" s="319" t="s">
        <v>230</v>
      </c>
      <c r="C44" s="259">
        <f>'Non-State'!$AE$3</f>
        <v>30539546.164877445</v>
      </c>
      <c r="D44" s="321"/>
      <c r="E44" s="716"/>
      <c r="F44" s="717"/>
      <c r="G44" s="322"/>
      <c r="H44" s="321"/>
    </row>
    <row r="45" spans="2:14" x14ac:dyDescent="0.25">
      <c r="B45" s="319" t="s">
        <v>231</v>
      </c>
      <c r="C45" s="259">
        <f>C43-C44</f>
        <v>261974045.83512256</v>
      </c>
      <c r="D45" s="227"/>
      <c r="E45" s="716"/>
      <c r="F45" s="717"/>
      <c r="G45" s="324"/>
      <c r="H45" s="227"/>
    </row>
    <row r="46" spans="2:14" x14ac:dyDescent="0.25">
      <c r="B46" s="227"/>
      <c r="C46" s="227"/>
      <c r="D46" s="227"/>
      <c r="E46" s="227"/>
      <c r="F46" s="227"/>
      <c r="G46" s="227"/>
      <c r="H46" s="227"/>
    </row>
    <row r="47" spans="2:14" x14ac:dyDescent="0.25">
      <c r="B47" s="227"/>
      <c r="C47" s="227"/>
      <c r="D47" s="227"/>
      <c r="E47" s="227"/>
      <c r="F47" s="227"/>
      <c r="G47" s="227"/>
      <c r="H47" s="227"/>
    </row>
    <row r="48" spans="2:14" x14ac:dyDescent="0.25">
      <c r="B48" s="336"/>
    </row>
  </sheetData>
  <mergeCells count="32">
    <mergeCell ref="E45:F45"/>
    <mergeCell ref="C38:C39"/>
    <mergeCell ref="G38:G39"/>
    <mergeCell ref="E40:F40"/>
    <mergeCell ref="E41:F41"/>
    <mergeCell ref="E42:F42"/>
    <mergeCell ref="E44:F44"/>
    <mergeCell ref="B37:H37"/>
    <mergeCell ref="E17:F18"/>
    <mergeCell ref="G17:G18"/>
    <mergeCell ref="B18:B19"/>
    <mergeCell ref="C18:C19"/>
    <mergeCell ref="B25:H25"/>
    <mergeCell ref="C26:C27"/>
    <mergeCell ref="G26:G27"/>
    <mergeCell ref="E28:F28"/>
    <mergeCell ref="E29:F29"/>
    <mergeCell ref="E30:F30"/>
    <mergeCell ref="E32:F32"/>
    <mergeCell ref="E33:F33"/>
    <mergeCell ref="C7:C8"/>
    <mergeCell ref="G7:G8"/>
    <mergeCell ref="E9:F11"/>
    <mergeCell ref="G9:G11"/>
    <mergeCell ref="E13:F14"/>
    <mergeCell ref="G13:G14"/>
    <mergeCell ref="K6:N6"/>
    <mergeCell ref="E3:F3"/>
    <mergeCell ref="G3:J3"/>
    <mergeCell ref="E4:F4"/>
    <mergeCell ref="G4:J4"/>
    <mergeCell ref="B6:H6"/>
  </mergeCells>
  <conditionalFormatting sqref="O27">
    <cfRule type="cellIs" dxfId="63" priority="3" operator="equal">
      <formula>FALSE</formula>
    </cfRule>
    <cfRule type="cellIs" dxfId="62" priority="4" operator="equal">
      <formula>TRUE</formula>
    </cfRule>
  </conditionalFormatting>
  <conditionalFormatting sqref="O9:O26">
    <cfRule type="cellIs" dxfId="61" priority="2" operator="greaterThan">
      <formula>0</formula>
    </cfRule>
  </conditionalFormatting>
  <conditionalFormatting sqref="L30">
    <cfRule type="cellIs" dxfId="60" priority="1" operator="equal">
      <formula>TRUE</formula>
    </cfRule>
  </conditionalFormatting>
  <dataValidations count="1">
    <dataValidation type="list" allowBlank="1" showInputMessage="1" showErrorMessage="1" sqref="C9" xr:uid="{C8B62C74-B4D8-48AA-8478-68F3ABBF1998}">
      <formula1>"2021,2022,2023,2024,2025,2026,2027,2028,2029,2030"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C5750-1D7D-40AD-993B-B9C52C3E6672}">
  <sheetPr codeName="Sheet2">
    <tabColor theme="4" tint="0.39997558519241921"/>
  </sheetPr>
  <dimension ref="A1:AMP32"/>
  <sheetViews>
    <sheetView showGridLines="0" topLeftCell="H1" zoomScale="80" zoomScaleNormal="80" workbookViewId="0">
      <selection activeCell="T15" sqref="T15"/>
    </sheetView>
  </sheetViews>
  <sheetFormatPr defaultColWidth="9.140625" defaultRowHeight="15" x14ac:dyDescent="0.25"/>
  <cols>
    <col min="1" max="1" width="6" customWidth="1"/>
    <col min="2" max="2" width="5.140625" customWidth="1"/>
    <col min="3" max="3" width="18.85546875" customWidth="1"/>
    <col min="4" max="4" width="14.42578125" customWidth="1"/>
    <col min="5" max="5" width="46" bestFit="1" customWidth="1"/>
    <col min="6" max="6" width="43.140625" customWidth="1"/>
    <col min="7" max="7" width="12.140625" bestFit="1" customWidth="1"/>
    <col min="8" max="12" width="11.7109375" customWidth="1"/>
    <col min="13" max="13" width="20.5703125" customWidth="1"/>
    <col min="14" max="14" width="20.42578125" customWidth="1"/>
    <col min="15" max="15" width="18.85546875" customWidth="1"/>
    <col min="16" max="16" width="22.140625" bestFit="1" customWidth="1"/>
    <col min="17" max="17" width="22.28515625" bestFit="1" customWidth="1"/>
    <col min="18" max="18" width="19.140625" customWidth="1"/>
    <col min="19" max="19" width="20.28515625" bestFit="1" customWidth="1"/>
    <col min="20" max="20" width="20.42578125" customWidth="1"/>
    <col min="21" max="21" width="17.7109375" customWidth="1"/>
    <col min="22" max="22" width="20" customWidth="1"/>
    <col min="23" max="23" width="18.5703125" customWidth="1"/>
    <col min="24" max="24" width="17.42578125" customWidth="1"/>
    <col min="25" max="25" width="17.7109375" customWidth="1"/>
    <col min="26" max="26" width="18.85546875" customWidth="1"/>
    <col min="27" max="27" width="18.42578125" customWidth="1"/>
    <col min="28" max="28" width="3.42578125" customWidth="1"/>
    <col min="29" max="30" width="16.140625" customWidth="1"/>
    <col min="31" max="31" width="14.140625" customWidth="1"/>
    <col min="32" max="33" width="13.28515625" customWidth="1"/>
    <col min="34" max="1027" width="9.140625" customWidth="1"/>
    <col min="1028" max="1036" width="11.5703125" customWidth="1"/>
  </cols>
  <sheetData>
    <row r="1" spans="1:1030" s="3" customFormat="1" ht="21" x14ac:dyDescent="0.35">
      <c r="A1" s="337" t="s">
        <v>232</v>
      </c>
      <c r="B1" s="337"/>
      <c r="C1" s="338" t="s">
        <v>233</v>
      </c>
      <c r="D1" s="339" t="s">
        <v>233</v>
      </c>
      <c r="E1" s="339" t="s">
        <v>233</v>
      </c>
      <c r="F1" s="339" t="s">
        <v>234</v>
      </c>
      <c r="G1" s="339" t="s">
        <v>234</v>
      </c>
      <c r="H1" s="339" t="s">
        <v>234</v>
      </c>
      <c r="I1" s="339" t="s">
        <v>234</v>
      </c>
      <c r="J1" s="339" t="s">
        <v>234</v>
      </c>
      <c r="K1" s="339" t="s">
        <v>234</v>
      </c>
      <c r="L1" s="339" t="s">
        <v>234</v>
      </c>
      <c r="M1" s="339" t="s">
        <v>234</v>
      </c>
      <c r="N1" s="339" t="s">
        <v>234</v>
      </c>
      <c r="O1" s="339" t="s">
        <v>234</v>
      </c>
      <c r="P1" s="339" t="s">
        <v>234</v>
      </c>
      <c r="Q1" s="339"/>
      <c r="R1" s="339"/>
      <c r="S1" s="339"/>
      <c r="V1" s="339"/>
      <c r="W1" s="339" t="s">
        <v>234</v>
      </c>
      <c r="X1" s="339" t="s">
        <v>234</v>
      </c>
      <c r="Y1" s="339"/>
      <c r="Z1" s="339"/>
      <c r="AA1" s="339"/>
      <c r="AB1" s="339"/>
      <c r="AC1" s="339"/>
      <c r="AD1" s="339"/>
      <c r="AE1" s="339"/>
      <c r="AF1" s="339"/>
    </row>
    <row r="2" spans="1:1030" s="6" customFormat="1" ht="1.5" customHeight="1" x14ac:dyDescent="0.3">
      <c r="A2" s="4"/>
      <c r="B2" s="4"/>
      <c r="C2" s="5"/>
      <c r="D2" s="5"/>
    </row>
    <row r="3" spans="1:1030" s="12" customFormat="1" x14ac:dyDescent="0.25">
      <c r="A3" s="340" t="s">
        <v>235</v>
      </c>
      <c r="B3" s="340"/>
      <c r="C3" s="9"/>
      <c r="D3" s="9"/>
      <c r="R3" s="341"/>
      <c r="S3" s="342">
        <f>'Assumption Inputs'!C45</f>
        <v>261974045.83512256</v>
      </c>
      <c r="X3" s="343"/>
      <c r="Y3" s="307"/>
    </row>
    <row r="4" spans="1:1030" s="12" customFormat="1" ht="16.5" thickBot="1" x14ac:dyDescent="0.3">
      <c r="A4" s="7"/>
      <c r="B4" s="7"/>
      <c r="C4" s="9"/>
      <c r="D4" s="9"/>
      <c r="J4" s="718" t="s">
        <v>236</v>
      </c>
      <c r="K4" s="718"/>
      <c r="L4" s="719" t="s">
        <v>237</v>
      </c>
      <c r="M4" s="719"/>
      <c r="N4" s="344"/>
      <c r="O4" s="344"/>
      <c r="P4" s="344"/>
      <c r="Q4" s="344"/>
      <c r="R4" s="345" t="s">
        <v>238</v>
      </c>
      <c r="S4" s="346">
        <f>S3/R6</f>
        <v>0.81584812252064354</v>
      </c>
      <c r="T4" s="344"/>
      <c r="U4" s="344"/>
      <c r="V4" s="344"/>
      <c r="W4" s="344"/>
      <c r="X4" s="344"/>
      <c r="Y4" s="344"/>
      <c r="Z4" s="344"/>
      <c r="AA4" s="344"/>
    </row>
    <row r="5" spans="1:1030" s="354" customFormat="1" ht="19.5" thickBot="1" x14ac:dyDescent="0.35">
      <c r="A5" s="13" t="s">
        <v>5</v>
      </c>
      <c r="B5" s="7"/>
      <c r="C5" s="347"/>
      <c r="D5" s="347"/>
      <c r="E5" s="348" t="s">
        <v>2</v>
      </c>
      <c r="F5" s="12"/>
      <c r="G5" s="12"/>
      <c r="H5" s="347"/>
      <c r="I5" s="720" t="s">
        <v>239</v>
      </c>
      <c r="J5" s="721"/>
      <c r="K5" s="722"/>
      <c r="L5" s="349">
        <f>COUNTIF(L14:L113,"Yes")</f>
        <v>3</v>
      </c>
      <c r="M5" s="349">
        <v>0</v>
      </c>
      <c r="N5" s="350">
        <f t="shared" ref="N5:AA5" si="0">SUMIF($L$14:$L$31,"Yes",N$14:N$31)</f>
        <v>107327864.31999999</v>
      </c>
      <c r="O5" s="350">
        <f t="shared" si="0"/>
        <v>0</v>
      </c>
      <c r="P5" s="350">
        <f t="shared" si="0"/>
        <v>34771603.822982728</v>
      </c>
      <c r="Q5" s="350">
        <f t="shared" si="0"/>
        <v>0</v>
      </c>
      <c r="R5" s="350">
        <f t="shared" si="0"/>
        <v>107327864.31999999</v>
      </c>
      <c r="S5" s="350">
        <f t="shared" si="0"/>
        <v>96595077</v>
      </c>
      <c r="T5" s="350">
        <f t="shared" si="0"/>
        <v>96595077</v>
      </c>
      <c r="U5" s="350">
        <f t="shared" si="0"/>
        <v>33933851</v>
      </c>
      <c r="V5" s="350">
        <f t="shared" si="0"/>
        <v>10732787.319999997</v>
      </c>
      <c r="W5" s="350">
        <f t="shared" si="0"/>
        <v>0</v>
      </c>
      <c r="X5" s="350">
        <f t="shared" si="0"/>
        <v>0</v>
      </c>
      <c r="Y5" s="350">
        <f t="shared" si="0"/>
        <v>96595077</v>
      </c>
      <c r="Z5" s="350">
        <f t="shared" si="0"/>
        <v>33933851</v>
      </c>
      <c r="AA5" s="351">
        <f t="shared" si="0"/>
        <v>0</v>
      </c>
      <c r="AB5" s="12"/>
      <c r="AC5" s="300"/>
      <c r="AD5" s="300"/>
      <c r="AE5" s="300"/>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3"/>
      <c r="BR5" s="353"/>
      <c r="BS5" s="353"/>
      <c r="BT5" s="353"/>
      <c r="BU5" s="353"/>
      <c r="BV5" s="353"/>
      <c r="BW5" s="353"/>
      <c r="BX5" s="353"/>
      <c r="BY5" s="353"/>
      <c r="BZ5" s="353"/>
      <c r="CA5" s="353"/>
      <c r="CB5" s="353"/>
      <c r="CC5" s="353"/>
      <c r="CD5" s="353"/>
      <c r="CE5" s="353"/>
      <c r="CF5" s="353"/>
      <c r="CG5" s="353"/>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c r="ED5" s="353"/>
      <c r="EE5" s="353"/>
      <c r="EF5" s="353"/>
      <c r="EG5" s="353"/>
      <c r="EH5" s="353"/>
      <c r="EI5" s="353"/>
      <c r="EJ5" s="353"/>
      <c r="EK5" s="353"/>
      <c r="EL5" s="353"/>
      <c r="EM5" s="353"/>
      <c r="EN5" s="353"/>
      <c r="EO5" s="353"/>
      <c r="EP5" s="353"/>
      <c r="EQ5" s="353"/>
      <c r="ER5" s="353"/>
      <c r="ES5" s="353"/>
      <c r="ET5" s="353"/>
      <c r="EU5" s="353"/>
      <c r="EV5" s="353"/>
      <c r="EW5" s="353"/>
      <c r="EX5" s="353"/>
      <c r="EY5" s="353"/>
      <c r="EZ5" s="353"/>
      <c r="FA5" s="353"/>
      <c r="FB5" s="353"/>
      <c r="FC5" s="353"/>
      <c r="FD5" s="353"/>
      <c r="FE5" s="353"/>
      <c r="FF5" s="353"/>
      <c r="FG5" s="353"/>
      <c r="FH5" s="353"/>
      <c r="FI5" s="353"/>
      <c r="FJ5" s="353"/>
      <c r="FK5" s="353"/>
      <c r="FL5" s="353"/>
      <c r="FM5" s="353"/>
      <c r="FN5" s="353"/>
      <c r="FO5" s="353"/>
      <c r="FP5" s="353"/>
      <c r="FQ5" s="353"/>
      <c r="FR5" s="353"/>
      <c r="FS5" s="353"/>
      <c r="FT5" s="353"/>
      <c r="FU5" s="353"/>
      <c r="FV5" s="353"/>
      <c r="FW5" s="353"/>
      <c r="FX5" s="353"/>
      <c r="FY5" s="353"/>
      <c r="FZ5" s="353"/>
      <c r="GA5" s="353"/>
      <c r="GB5" s="353"/>
      <c r="GC5" s="353"/>
      <c r="GD5" s="353"/>
      <c r="GE5" s="353"/>
      <c r="GF5" s="353"/>
      <c r="GG5" s="353"/>
      <c r="GH5" s="353"/>
      <c r="GI5" s="353"/>
      <c r="GJ5" s="353"/>
      <c r="GK5" s="353"/>
      <c r="GL5" s="353"/>
      <c r="GM5" s="353"/>
      <c r="GN5" s="353"/>
      <c r="GO5" s="353"/>
      <c r="GP5" s="353"/>
      <c r="GQ5" s="353"/>
      <c r="GR5" s="353"/>
      <c r="GS5" s="353"/>
      <c r="GT5" s="353"/>
      <c r="GU5" s="353"/>
      <c r="GV5" s="353"/>
      <c r="GW5" s="353"/>
      <c r="GX5" s="353"/>
      <c r="GY5" s="353"/>
      <c r="GZ5" s="353"/>
      <c r="HA5" s="353"/>
      <c r="HB5" s="353"/>
      <c r="HC5" s="353"/>
      <c r="HD5" s="353"/>
      <c r="HE5" s="353"/>
      <c r="HF5" s="353"/>
      <c r="HG5" s="353"/>
      <c r="HH5" s="353"/>
      <c r="HI5" s="353"/>
      <c r="HJ5" s="353"/>
      <c r="HK5" s="353"/>
      <c r="HL5" s="353"/>
      <c r="HM5" s="353"/>
      <c r="HN5" s="353"/>
      <c r="HO5" s="353"/>
      <c r="HP5" s="353"/>
      <c r="HQ5" s="353"/>
      <c r="HR5" s="353"/>
      <c r="HS5" s="353"/>
      <c r="HT5" s="353"/>
      <c r="HU5" s="353"/>
      <c r="HV5" s="353"/>
      <c r="HW5" s="353"/>
      <c r="HX5" s="353"/>
      <c r="HY5" s="353"/>
      <c r="HZ5" s="353"/>
      <c r="IA5" s="353"/>
      <c r="IB5" s="353"/>
      <c r="IC5" s="353"/>
      <c r="ID5" s="353"/>
      <c r="IE5" s="353"/>
      <c r="IF5" s="353"/>
      <c r="IG5" s="353"/>
      <c r="IH5" s="353"/>
      <c r="II5" s="353"/>
      <c r="IJ5" s="353"/>
      <c r="IK5" s="353"/>
      <c r="IL5" s="353"/>
      <c r="IM5" s="353"/>
      <c r="IN5" s="353"/>
      <c r="IO5" s="353"/>
      <c r="IP5" s="353"/>
      <c r="IQ5" s="353"/>
      <c r="IR5" s="353"/>
      <c r="IS5" s="353"/>
      <c r="IT5" s="353"/>
      <c r="IU5" s="353"/>
      <c r="IV5" s="353"/>
      <c r="IW5" s="353"/>
      <c r="IX5" s="353"/>
      <c r="IY5" s="353"/>
      <c r="IZ5" s="353"/>
      <c r="JA5" s="353"/>
      <c r="JB5" s="353"/>
      <c r="JC5" s="353"/>
      <c r="JD5" s="353"/>
      <c r="JE5" s="353"/>
      <c r="JF5" s="353"/>
      <c r="JG5" s="353"/>
      <c r="JH5" s="353"/>
      <c r="JI5" s="353"/>
      <c r="JJ5" s="353"/>
      <c r="JK5" s="353"/>
      <c r="JL5" s="353"/>
      <c r="JM5" s="353"/>
      <c r="JN5" s="353"/>
      <c r="JO5" s="353"/>
      <c r="JP5" s="353"/>
      <c r="JQ5" s="353"/>
      <c r="JR5" s="353"/>
      <c r="JS5" s="353"/>
      <c r="JT5" s="353"/>
      <c r="JU5" s="353"/>
      <c r="JV5" s="353"/>
      <c r="JW5" s="353"/>
      <c r="JX5" s="353"/>
      <c r="JY5" s="353"/>
      <c r="JZ5" s="353"/>
      <c r="KA5" s="353"/>
      <c r="KB5" s="353"/>
      <c r="KC5" s="353"/>
      <c r="KD5" s="353"/>
      <c r="KE5" s="353"/>
      <c r="KF5" s="353"/>
      <c r="KG5" s="353"/>
      <c r="KH5" s="353"/>
      <c r="KI5" s="353"/>
      <c r="KJ5" s="353"/>
      <c r="KK5" s="353"/>
      <c r="KL5" s="353"/>
      <c r="KM5" s="353"/>
      <c r="KN5" s="353"/>
      <c r="KO5" s="353"/>
      <c r="KP5" s="353"/>
      <c r="KQ5" s="353"/>
      <c r="KR5" s="353"/>
      <c r="KS5" s="353"/>
      <c r="KT5" s="353"/>
      <c r="KU5" s="353"/>
      <c r="KV5" s="353"/>
      <c r="KW5" s="353"/>
      <c r="KX5" s="353"/>
      <c r="KY5" s="353"/>
      <c r="KZ5" s="353"/>
      <c r="LA5" s="353"/>
      <c r="LB5" s="353"/>
      <c r="LC5" s="353"/>
      <c r="LD5" s="353"/>
      <c r="LE5" s="353"/>
      <c r="LF5" s="353"/>
      <c r="LG5" s="353"/>
      <c r="LH5" s="353"/>
      <c r="LI5" s="353"/>
      <c r="LJ5" s="353"/>
      <c r="LK5" s="353"/>
      <c r="LL5" s="353"/>
      <c r="LM5" s="353"/>
      <c r="LN5" s="353"/>
      <c r="LO5" s="353"/>
      <c r="LP5" s="353"/>
      <c r="LQ5" s="353"/>
      <c r="LR5" s="353"/>
      <c r="LS5" s="353"/>
      <c r="LT5" s="353"/>
      <c r="LU5" s="353"/>
      <c r="LV5" s="353"/>
      <c r="LW5" s="353"/>
      <c r="LX5" s="353"/>
      <c r="LY5" s="353"/>
      <c r="LZ5" s="353"/>
      <c r="MA5" s="353"/>
      <c r="MB5" s="353"/>
      <c r="MC5" s="353"/>
      <c r="MD5" s="353"/>
      <c r="ME5" s="353"/>
      <c r="MF5" s="353"/>
      <c r="MG5" s="353"/>
      <c r="MH5" s="353"/>
      <c r="MI5" s="353"/>
      <c r="MJ5" s="353"/>
      <c r="MK5" s="353"/>
      <c r="ML5" s="353"/>
      <c r="MM5" s="353"/>
      <c r="MN5" s="353"/>
      <c r="MO5" s="353"/>
      <c r="MP5" s="353"/>
      <c r="MQ5" s="353"/>
      <c r="MR5" s="353"/>
      <c r="MS5" s="353"/>
      <c r="MT5" s="353"/>
      <c r="MU5" s="353"/>
      <c r="MV5" s="353"/>
      <c r="MW5" s="353"/>
      <c r="MX5" s="353"/>
      <c r="MY5" s="353"/>
      <c r="MZ5" s="353"/>
      <c r="NA5" s="353"/>
      <c r="NB5" s="353"/>
      <c r="NC5" s="353"/>
      <c r="ND5" s="353"/>
      <c r="NE5" s="353"/>
      <c r="NF5" s="353"/>
      <c r="NG5" s="353"/>
      <c r="NH5" s="353"/>
      <c r="NI5" s="353"/>
      <c r="NJ5" s="353"/>
      <c r="NK5" s="353"/>
      <c r="NL5" s="353"/>
      <c r="NM5" s="353"/>
      <c r="NN5" s="353"/>
      <c r="NO5" s="353"/>
      <c r="NP5" s="353"/>
      <c r="NQ5" s="353"/>
      <c r="NR5" s="353"/>
      <c r="NS5" s="353"/>
      <c r="NT5" s="353"/>
      <c r="NU5" s="353"/>
      <c r="NV5" s="353"/>
      <c r="NW5" s="353"/>
      <c r="NX5" s="353"/>
      <c r="NY5" s="353"/>
      <c r="NZ5" s="353"/>
      <c r="OA5" s="353"/>
      <c r="OB5" s="353"/>
      <c r="OC5" s="353"/>
      <c r="OD5" s="353"/>
      <c r="OE5" s="353"/>
      <c r="OF5" s="353"/>
      <c r="OG5" s="353"/>
      <c r="OH5" s="353"/>
      <c r="OI5" s="353"/>
      <c r="OJ5" s="353"/>
      <c r="OK5" s="353"/>
      <c r="OL5" s="353"/>
      <c r="OM5" s="353"/>
      <c r="ON5" s="353"/>
      <c r="OO5" s="353"/>
      <c r="OP5" s="353"/>
      <c r="OQ5" s="353"/>
      <c r="OR5" s="353"/>
      <c r="OS5" s="353"/>
      <c r="OT5" s="353"/>
      <c r="OU5" s="353"/>
      <c r="OV5" s="353"/>
      <c r="OW5" s="353"/>
      <c r="OX5" s="353"/>
      <c r="OY5" s="353"/>
      <c r="OZ5" s="353"/>
      <c r="PA5" s="353"/>
      <c r="PB5" s="353"/>
      <c r="PC5" s="353"/>
      <c r="PD5" s="353"/>
      <c r="PE5" s="353"/>
      <c r="PF5" s="353"/>
      <c r="PG5" s="353"/>
      <c r="PH5" s="353"/>
      <c r="PI5" s="353"/>
      <c r="PJ5" s="353"/>
      <c r="PK5" s="353"/>
      <c r="PL5" s="353"/>
      <c r="PM5" s="353"/>
      <c r="PN5" s="353"/>
      <c r="PO5" s="353"/>
      <c r="PP5" s="353"/>
      <c r="PQ5" s="353"/>
      <c r="PR5" s="353"/>
      <c r="PS5" s="353"/>
      <c r="PT5" s="353"/>
      <c r="PU5" s="353"/>
      <c r="PV5" s="353"/>
      <c r="PW5" s="353"/>
      <c r="PX5" s="353"/>
      <c r="PY5" s="353"/>
      <c r="PZ5" s="353"/>
      <c r="QA5" s="353"/>
      <c r="QB5" s="353"/>
      <c r="QC5" s="353"/>
      <c r="QD5" s="353"/>
      <c r="QE5" s="353"/>
      <c r="QF5" s="353"/>
      <c r="QG5" s="353"/>
      <c r="QH5" s="353"/>
      <c r="QI5" s="353"/>
      <c r="QJ5" s="353"/>
      <c r="QK5" s="353"/>
      <c r="QL5" s="353"/>
      <c r="QM5" s="353"/>
      <c r="QN5" s="353"/>
      <c r="QO5" s="353"/>
      <c r="QP5" s="353"/>
      <c r="QQ5" s="353"/>
      <c r="QR5" s="353"/>
      <c r="QS5" s="353"/>
      <c r="QT5" s="353"/>
      <c r="QU5" s="353"/>
      <c r="QV5" s="353"/>
      <c r="QW5" s="353"/>
      <c r="QX5" s="353"/>
      <c r="QY5" s="353"/>
      <c r="QZ5" s="353"/>
      <c r="RA5" s="353"/>
      <c r="RB5" s="353"/>
      <c r="RC5" s="353"/>
      <c r="RD5" s="353"/>
      <c r="RE5" s="353"/>
      <c r="RF5" s="353"/>
      <c r="RG5" s="353"/>
      <c r="RH5" s="353"/>
      <c r="RI5" s="353"/>
      <c r="RJ5" s="353"/>
      <c r="RK5" s="353"/>
      <c r="RL5" s="353"/>
      <c r="RM5" s="353"/>
      <c r="RN5" s="353"/>
      <c r="RO5" s="353"/>
      <c r="RP5" s="353"/>
      <c r="RQ5" s="353"/>
      <c r="RR5" s="353"/>
      <c r="RS5" s="353"/>
      <c r="RT5" s="353"/>
      <c r="RU5" s="353"/>
      <c r="RV5" s="353"/>
      <c r="RW5" s="353"/>
      <c r="RX5" s="353"/>
      <c r="RY5" s="353"/>
      <c r="RZ5" s="353"/>
      <c r="SA5" s="353"/>
      <c r="SB5" s="353"/>
      <c r="SC5" s="353"/>
      <c r="SD5" s="353"/>
      <c r="SE5" s="353"/>
      <c r="SF5" s="353"/>
      <c r="SG5" s="353"/>
      <c r="SH5" s="353"/>
      <c r="SI5" s="353"/>
      <c r="SJ5" s="353"/>
      <c r="SK5" s="353"/>
      <c r="SL5" s="353"/>
      <c r="SM5" s="353"/>
      <c r="SN5" s="353"/>
      <c r="SO5" s="353"/>
      <c r="SP5" s="353"/>
      <c r="SQ5" s="353"/>
      <c r="SR5" s="353"/>
      <c r="SS5" s="353"/>
      <c r="ST5" s="353"/>
      <c r="SU5" s="353"/>
      <c r="SV5" s="353"/>
      <c r="SW5" s="353"/>
      <c r="SX5" s="353"/>
      <c r="SY5" s="353"/>
      <c r="SZ5" s="353"/>
      <c r="TA5" s="353"/>
      <c r="TB5" s="353"/>
      <c r="TC5" s="353"/>
      <c r="TD5" s="353"/>
      <c r="TE5" s="353"/>
      <c r="TF5" s="353"/>
      <c r="TG5" s="353"/>
      <c r="TH5" s="353"/>
      <c r="TI5" s="353"/>
      <c r="TJ5" s="353"/>
      <c r="TK5" s="353"/>
      <c r="TL5" s="353"/>
      <c r="TM5" s="353"/>
      <c r="TN5" s="353"/>
      <c r="TO5" s="353"/>
      <c r="TP5" s="353"/>
      <c r="TQ5" s="353"/>
      <c r="TR5" s="353"/>
      <c r="TS5" s="353"/>
      <c r="TT5" s="353"/>
      <c r="TU5" s="353"/>
      <c r="TV5" s="353"/>
      <c r="TW5" s="353"/>
      <c r="TX5" s="353"/>
      <c r="TY5" s="353"/>
      <c r="TZ5" s="353"/>
      <c r="UA5" s="353"/>
      <c r="UB5" s="353"/>
      <c r="UC5" s="353"/>
      <c r="UD5" s="353"/>
      <c r="UE5" s="353"/>
      <c r="UF5" s="353"/>
      <c r="UG5" s="353"/>
      <c r="UH5" s="353"/>
      <c r="UI5" s="353"/>
      <c r="UJ5" s="353"/>
      <c r="UK5" s="353"/>
      <c r="UL5" s="353"/>
      <c r="UM5" s="353"/>
      <c r="UN5" s="353"/>
      <c r="UO5" s="353"/>
      <c r="UP5" s="353"/>
      <c r="UQ5" s="353"/>
      <c r="UR5" s="353"/>
      <c r="US5" s="353"/>
      <c r="UT5" s="353"/>
      <c r="UU5" s="353"/>
      <c r="UV5" s="353"/>
      <c r="UW5" s="353"/>
      <c r="UX5" s="353"/>
      <c r="UY5" s="353"/>
      <c r="UZ5" s="353"/>
      <c r="VA5" s="353"/>
      <c r="VB5" s="353"/>
      <c r="VC5" s="353"/>
      <c r="VD5" s="353"/>
      <c r="VE5" s="353"/>
      <c r="VF5" s="353"/>
      <c r="VG5" s="353"/>
      <c r="VH5" s="353"/>
      <c r="VI5" s="353"/>
      <c r="VJ5" s="353"/>
      <c r="VK5" s="353"/>
      <c r="VL5" s="353"/>
      <c r="VM5" s="353"/>
      <c r="VN5" s="353"/>
      <c r="VO5" s="353"/>
      <c r="VP5" s="353"/>
      <c r="VQ5" s="353"/>
      <c r="VR5" s="353"/>
      <c r="VS5" s="353"/>
      <c r="VT5" s="353"/>
      <c r="VU5" s="353"/>
      <c r="VV5" s="353"/>
      <c r="VW5" s="353"/>
      <c r="VX5" s="353"/>
      <c r="VY5" s="353"/>
      <c r="VZ5" s="353"/>
      <c r="WA5" s="353"/>
      <c r="WB5" s="353"/>
      <c r="WC5" s="353"/>
      <c r="WD5" s="353"/>
      <c r="WE5" s="353"/>
      <c r="WF5" s="353"/>
      <c r="WG5" s="353"/>
      <c r="WH5" s="353"/>
      <c r="WI5" s="353"/>
      <c r="WJ5" s="353"/>
      <c r="WK5" s="353"/>
      <c r="WL5" s="353"/>
      <c r="WM5" s="353"/>
      <c r="WN5" s="353"/>
      <c r="WO5" s="353"/>
      <c r="WP5" s="353"/>
      <c r="WQ5" s="353"/>
      <c r="WR5" s="353"/>
      <c r="WS5" s="353"/>
      <c r="WT5" s="353"/>
      <c r="WU5" s="353"/>
      <c r="WV5" s="353"/>
      <c r="WW5" s="353"/>
      <c r="WX5" s="353"/>
      <c r="WY5" s="353"/>
      <c r="WZ5" s="353"/>
      <c r="XA5" s="353"/>
      <c r="XB5" s="353"/>
      <c r="XC5" s="353"/>
      <c r="XD5" s="353"/>
      <c r="XE5" s="353"/>
      <c r="XF5" s="353"/>
      <c r="XG5" s="353"/>
      <c r="XH5" s="353"/>
      <c r="XI5" s="353"/>
      <c r="XJ5" s="353"/>
      <c r="XK5" s="353"/>
      <c r="XL5" s="353"/>
      <c r="XM5" s="353"/>
      <c r="XN5" s="353"/>
      <c r="XO5" s="353"/>
      <c r="XP5" s="353"/>
      <c r="XQ5" s="353"/>
      <c r="XR5" s="353"/>
      <c r="XS5" s="353"/>
      <c r="XT5" s="353"/>
      <c r="XU5" s="353"/>
      <c r="XV5" s="353"/>
      <c r="XW5" s="353"/>
      <c r="XX5" s="353"/>
      <c r="XY5" s="353"/>
      <c r="XZ5" s="353"/>
      <c r="YA5" s="353"/>
      <c r="YB5" s="353"/>
      <c r="YC5" s="353"/>
      <c r="YD5" s="353"/>
      <c r="YE5" s="353"/>
      <c r="YF5" s="353"/>
      <c r="YG5" s="353"/>
      <c r="YH5" s="353"/>
      <c r="YI5" s="353"/>
      <c r="YJ5" s="353"/>
      <c r="YK5" s="353"/>
      <c r="YL5" s="353"/>
      <c r="YM5" s="353"/>
      <c r="YN5" s="353"/>
      <c r="YO5" s="353"/>
      <c r="YP5" s="353"/>
      <c r="YQ5" s="353"/>
      <c r="YR5" s="353"/>
      <c r="YS5" s="353"/>
      <c r="YT5" s="353"/>
      <c r="YU5" s="353"/>
      <c r="YV5" s="353"/>
      <c r="YW5" s="353"/>
      <c r="YX5" s="353"/>
      <c r="YY5" s="353"/>
      <c r="YZ5" s="353"/>
      <c r="ZA5" s="353"/>
      <c r="ZB5" s="353"/>
      <c r="ZC5" s="353"/>
      <c r="ZD5" s="353"/>
      <c r="ZE5" s="353"/>
      <c r="ZF5" s="353"/>
      <c r="ZG5" s="353"/>
      <c r="ZH5" s="353"/>
      <c r="ZI5" s="353"/>
      <c r="ZJ5" s="353"/>
      <c r="ZK5" s="353"/>
      <c r="ZL5" s="353"/>
      <c r="ZM5" s="353"/>
      <c r="ZN5" s="353"/>
      <c r="ZO5" s="353"/>
      <c r="ZP5" s="353"/>
      <c r="ZQ5" s="353"/>
      <c r="ZR5" s="353"/>
      <c r="ZS5" s="353"/>
      <c r="ZT5" s="353"/>
      <c r="ZU5" s="353"/>
      <c r="ZV5" s="353"/>
      <c r="ZW5" s="353"/>
      <c r="ZX5" s="353"/>
      <c r="ZY5" s="353"/>
      <c r="ZZ5" s="353"/>
      <c r="AAA5" s="353"/>
      <c r="AAB5" s="353"/>
      <c r="AAC5" s="353"/>
      <c r="AAD5" s="353"/>
      <c r="AAE5" s="353"/>
      <c r="AAF5" s="353"/>
      <c r="AAG5" s="353"/>
      <c r="AAH5" s="353"/>
      <c r="AAI5" s="353"/>
      <c r="AAJ5" s="353"/>
      <c r="AAK5" s="353"/>
      <c r="AAL5" s="353"/>
      <c r="AAM5" s="353"/>
      <c r="AAN5" s="353"/>
      <c r="AAO5" s="353"/>
      <c r="AAP5" s="353"/>
      <c r="AAQ5" s="353"/>
      <c r="AAR5" s="353"/>
      <c r="AAS5" s="353"/>
      <c r="AAT5" s="353"/>
      <c r="AAU5" s="353"/>
      <c r="AAV5" s="353"/>
      <c r="AAW5" s="353"/>
      <c r="AAX5" s="353"/>
      <c r="AAY5" s="353"/>
      <c r="AAZ5" s="353"/>
      <c r="ABA5" s="353"/>
      <c r="ABB5" s="353"/>
      <c r="ABC5" s="353"/>
      <c r="ABD5" s="353"/>
      <c r="ABE5" s="353"/>
      <c r="ABF5" s="353"/>
      <c r="ABG5" s="353"/>
      <c r="ABH5" s="353"/>
      <c r="ABI5" s="353"/>
      <c r="ABJ5" s="353"/>
      <c r="ABK5" s="353"/>
      <c r="ABL5" s="353"/>
      <c r="ABM5" s="353"/>
      <c r="ABN5" s="353"/>
      <c r="ABO5" s="353"/>
      <c r="ABP5" s="353"/>
      <c r="ABQ5" s="353"/>
      <c r="ABR5" s="353"/>
      <c r="ABS5" s="353"/>
      <c r="ABT5" s="353"/>
      <c r="ABU5" s="353"/>
      <c r="ABV5" s="353"/>
      <c r="ABW5" s="353"/>
      <c r="ABX5" s="353"/>
      <c r="ABY5" s="353"/>
      <c r="ABZ5" s="353"/>
      <c r="ACA5" s="353"/>
      <c r="ACB5" s="353"/>
      <c r="ACC5" s="353"/>
      <c r="ACD5" s="353"/>
      <c r="ACE5" s="353"/>
      <c r="ACF5" s="353"/>
      <c r="ACG5" s="353"/>
      <c r="ACH5" s="353"/>
      <c r="ACI5" s="353"/>
      <c r="ACJ5" s="353"/>
      <c r="ACK5" s="353"/>
      <c r="ACL5" s="353"/>
      <c r="ACM5" s="353"/>
      <c r="ACN5" s="353"/>
      <c r="ACO5" s="353"/>
      <c r="ACP5" s="353"/>
      <c r="ACQ5" s="353"/>
      <c r="ACR5" s="353"/>
      <c r="ACS5" s="353"/>
      <c r="ACT5" s="353"/>
      <c r="ACU5" s="353"/>
      <c r="ACV5" s="353"/>
      <c r="ACW5" s="353"/>
      <c r="ACX5" s="353"/>
      <c r="ACY5" s="353"/>
      <c r="ACZ5" s="353"/>
      <c r="ADA5" s="353"/>
      <c r="ADB5" s="353"/>
      <c r="ADC5" s="353"/>
      <c r="ADD5" s="353"/>
      <c r="ADE5" s="353"/>
      <c r="ADF5" s="353"/>
      <c r="ADG5" s="353"/>
      <c r="ADH5" s="353"/>
      <c r="ADI5" s="353"/>
      <c r="ADJ5" s="353"/>
      <c r="ADK5" s="353"/>
      <c r="ADL5" s="353"/>
      <c r="ADM5" s="353"/>
      <c r="ADN5" s="353"/>
      <c r="ADO5" s="353"/>
      <c r="ADP5" s="353"/>
      <c r="ADQ5" s="353"/>
      <c r="ADR5" s="353"/>
      <c r="ADS5" s="353"/>
      <c r="ADT5" s="353"/>
      <c r="ADU5" s="353"/>
      <c r="ADV5" s="353"/>
      <c r="ADW5" s="353"/>
      <c r="ADX5" s="353"/>
      <c r="ADY5" s="353"/>
      <c r="ADZ5" s="353"/>
      <c r="AEA5" s="353"/>
      <c r="AEB5" s="353"/>
      <c r="AEC5" s="353"/>
      <c r="AED5" s="353"/>
      <c r="AEE5" s="353"/>
      <c r="AEF5" s="353"/>
      <c r="AEG5" s="353"/>
      <c r="AEH5" s="353"/>
      <c r="AEI5" s="353"/>
      <c r="AEJ5" s="353"/>
      <c r="AEK5" s="353"/>
      <c r="AEL5" s="353"/>
      <c r="AEM5" s="353"/>
      <c r="AEN5" s="353"/>
      <c r="AEO5" s="353"/>
      <c r="AEP5" s="353"/>
      <c r="AEQ5" s="353"/>
      <c r="AER5" s="353"/>
      <c r="AES5" s="353"/>
      <c r="AET5" s="353"/>
      <c r="AEU5" s="353"/>
      <c r="AEV5" s="353"/>
      <c r="AEW5" s="353"/>
      <c r="AEX5" s="353"/>
      <c r="AEY5" s="353"/>
      <c r="AEZ5" s="353"/>
      <c r="AFA5" s="353"/>
      <c r="AFB5" s="353"/>
      <c r="AFC5" s="353"/>
      <c r="AFD5" s="353"/>
      <c r="AFE5" s="353"/>
      <c r="AFF5" s="353"/>
      <c r="AFG5" s="353"/>
      <c r="AFH5" s="353"/>
      <c r="AFI5" s="353"/>
      <c r="AFJ5" s="353"/>
      <c r="AFK5" s="353"/>
      <c r="AFL5" s="353"/>
      <c r="AFM5" s="353"/>
      <c r="AFN5" s="353"/>
      <c r="AFO5" s="353"/>
      <c r="AFP5" s="353"/>
      <c r="AFQ5" s="353"/>
      <c r="AFR5" s="353"/>
      <c r="AFS5" s="353"/>
      <c r="AFT5" s="353"/>
      <c r="AFU5" s="353"/>
      <c r="AFV5" s="353"/>
      <c r="AFW5" s="353"/>
      <c r="AFX5" s="353"/>
      <c r="AFY5" s="353"/>
      <c r="AFZ5" s="353"/>
      <c r="AGA5" s="353"/>
      <c r="AGB5" s="353"/>
      <c r="AGC5" s="353"/>
      <c r="AGD5" s="353"/>
      <c r="AGE5" s="353"/>
      <c r="AGF5" s="353"/>
      <c r="AGG5" s="353"/>
      <c r="AGH5" s="353"/>
      <c r="AGI5" s="353"/>
      <c r="AGJ5" s="353"/>
      <c r="AGK5" s="353"/>
      <c r="AGL5" s="353"/>
      <c r="AGM5" s="353"/>
      <c r="AGN5" s="353"/>
      <c r="AGO5" s="353"/>
      <c r="AGP5" s="353"/>
      <c r="AGQ5" s="353"/>
      <c r="AGR5" s="353"/>
      <c r="AGS5" s="353"/>
      <c r="AGT5" s="353"/>
      <c r="AGU5" s="353"/>
      <c r="AGV5" s="353"/>
      <c r="AGW5" s="353"/>
      <c r="AGX5" s="353"/>
      <c r="AGY5" s="353"/>
      <c r="AGZ5" s="353"/>
      <c r="AHA5" s="353"/>
      <c r="AHB5" s="353"/>
      <c r="AHC5" s="353"/>
      <c r="AHD5" s="353"/>
      <c r="AHE5" s="353"/>
      <c r="AHF5" s="353"/>
      <c r="AHG5" s="353"/>
      <c r="AHH5" s="353"/>
      <c r="AHI5" s="353"/>
      <c r="AHJ5" s="353"/>
      <c r="AHK5" s="353"/>
      <c r="AHL5" s="353"/>
      <c r="AHM5" s="353"/>
      <c r="AHN5" s="353"/>
      <c r="AHO5" s="353"/>
      <c r="AHP5" s="353"/>
      <c r="AHQ5" s="353"/>
      <c r="AHR5" s="353"/>
      <c r="AHS5" s="353"/>
      <c r="AHT5" s="353"/>
      <c r="AHU5" s="353"/>
      <c r="AHV5" s="353"/>
      <c r="AHW5" s="353"/>
      <c r="AHX5" s="353"/>
      <c r="AHY5" s="353"/>
      <c r="AHZ5" s="353"/>
      <c r="AIA5" s="353"/>
      <c r="AIB5" s="353"/>
      <c r="AIC5" s="353"/>
      <c r="AID5" s="353"/>
      <c r="AIE5" s="353"/>
      <c r="AIF5" s="353"/>
      <c r="AIG5" s="353"/>
      <c r="AIH5" s="353"/>
      <c r="AII5" s="353"/>
      <c r="AIJ5" s="353"/>
      <c r="AIK5" s="353"/>
      <c r="AIL5" s="353"/>
      <c r="AIM5" s="353"/>
      <c r="AIN5" s="353"/>
      <c r="AIO5" s="353"/>
      <c r="AIP5" s="353"/>
      <c r="AIQ5" s="353"/>
      <c r="AIR5" s="353"/>
      <c r="AIS5" s="353"/>
      <c r="AIT5" s="353"/>
      <c r="AIU5" s="353"/>
      <c r="AIV5" s="353"/>
      <c r="AIW5" s="353"/>
      <c r="AIX5" s="353"/>
      <c r="AIY5" s="353"/>
      <c r="AIZ5" s="353"/>
      <c r="AJA5" s="353"/>
      <c r="AJB5" s="353"/>
      <c r="AJC5" s="353"/>
      <c r="AJD5" s="353"/>
      <c r="AJE5" s="353"/>
      <c r="AJF5" s="353"/>
      <c r="AJG5" s="353"/>
      <c r="AJH5" s="353"/>
      <c r="AJI5" s="353"/>
      <c r="AJJ5" s="353"/>
      <c r="AJK5" s="353"/>
      <c r="AJL5" s="353"/>
      <c r="AJM5" s="353"/>
      <c r="AJN5" s="353"/>
      <c r="AJO5" s="353"/>
      <c r="AJP5" s="353"/>
      <c r="AJQ5" s="353"/>
      <c r="AJR5" s="353"/>
      <c r="AJS5" s="353"/>
      <c r="AJT5" s="353"/>
      <c r="AJU5" s="353"/>
      <c r="AJV5" s="353"/>
      <c r="AJW5" s="353"/>
      <c r="AJX5" s="353"/>
      <c r="AJY5" s="353"/>
      <c r="AJZ5" s="353"/>
      <c r="AKA5" s="353"/>
      <c r="AKB5" s="353"/>
      <c r="AKC5" s="353"/>
      <c r="AKD5" s="353"/>
      <c r="AKE5" s="353"/>
      <c r="AKF5" s="353"/>
      <c r="AKG5" s="353"/>
      <c r="AKH5" s="353"/>
      <c r="AKI5" s="353"/>
      <c r="AKJ5" s="353"/>
      <c r="AKK5" s="353"/>
      <c r="AKL5" s="353"/>
      <c r="AKM5" s="353"/>
      <c r="AKN5" s="353"/>
      <c r="AKO5" s="353"/>
      <c r="AKP5" s="353"/>
      <c r="AKQ5" s="353"/>
      <c r="AKR5" s="353"/>
      <c r="AKS5" s="353"/>
      <c r="AKT5" s="353"/>
      <c r="AKU5" s="353"/>
      <c r="AKV5" s="353"/>
      <c r="AKW5" s="353"/>
      <c r="AKX5" s="353"/>
      <c r="AKY5" s="353"/>
      <c r="AKZ5" s="353"/>
      <c r="ALA5" s="353"/>
      <c r="ALB5" s="353"/>
      <c r="ALC5" s="353"/>
      <c r="ALD5" s="353"/>
      <c r="ALE5" s="353"/>
      <c r="ALF5" s="353"/>
      <c r="ALG5" s="353"/>
      <c r="ALH5" s="353"/>
      <c r="ALI5" s="353"/>
      <c r="ALJ5" s="353"/>
      <c r="ALK5" s="353"/>
      <c r="ALL5" s="353"/>
      <c r="ALM5" s="353"/>
      <c r="ALN5" s="353"/>
      <c r="ALO5" s="353"/>
      <c r="ALP5" s="353"/>
      <c r="ALQ5" s="353"/>
      <c r="ALR5" s="353"/>
      <c r="ALS5" s="353"/>
      <c r="ALT5" s="353"/>
      <c r="ALU5" s="353"/>
      <c r="ALV5" s="353"/>
      <c r="ALW5" s="353"/>
      <c r="ALX5" s="353"/>
      <c r="ALY5" s="353"/>
      <c r="ALZ5" s="353"/>
      <c r="AMA5" s="353"/>
      <c r="AMB5" s="353"/>
      <c r="AMC5" s="353"/>
      <c r="AMD5" s="353"/>
      <c r="AME5" s="353"/>
      <c r="AMF5" s="353"/>
      <c r="AMG5" s="353"/>
      <c r="AMH5" s="353"/>
      <c r="AMI5" s="353"/>
      <c r="AMJ5" s="353"/>
      <c r="AMK5" s="353"/>
      <c r="AML5" s="353"/>
      <c r="AMM5" s="353"/>
      <c r="AMN5" s="353"/>
      <c r="AMO5" s="353"/>
      <c r="AMP5" s="353"/>
    </row>
    <row r="6" spans="1:1030" s="354" customFormat="1" ht="14.45" customHeight="1" x14ac:dyDescent="0.25">
      <c r="A6" s="7"/>
      <c r="C6" s="723" t="s">
        <v>240</v>
      </c>
      <c r="D6" s="355"/>
      <c r="E6" s="356" t="s">
        <v>241</v>
      </c>
      <c r="F6" s="12"/>
      <c r="G6" s="12"/>
      <c r="H6" s="347"/>
      <c r="I6" s="725" t="s">
        <v>242</v>
      </c>
      <c r="J6" s="726"/>
      <c r="K6" s="727"/>
      <c r="L6" s="357">
        <v>0</v>
      </c>
      <c r="M6" s="357">
        <f>COUNTIF(M$14:M$1048576,"Yes")</f>
        <v>9</v>
      </c>
      <c r="N6" s="358">
        <f t="shared" ref="N6:AA6" si="1">SUMIF($M$14:$M$31,"Yes",N$14:N$31)</f>
        <v>321106390.51999998</v>
      </c>
      <c r="O6" s="358">
        <f t="shared" si="1"/>
        <v>0</v>
      </c>
      <c r="P6" s="358">
        <f t="shared" si="1"/>
        <v>5729576.9713667147</v>
      </c>
      <c r="Q6" s="358">
        <f t="shared" si="1"/>
        <v>0</v>
      </c>
      <c r="R6" s="358">
        <f t="shared" si="1"/>
        <v>321106390.51999998</v>
      </c>
      <c r="S6" s="358">
        <f t="shared" si="1"/>
        <v>261974045.83512259</v>
      </c>
      <c r="T6" s="358">
        <f t="shared" si="1"/>
        <v>261974045.83512259</v>
      </c>
      <c r="U6" s="358">
        <f t="shared" si="1"/>
        <v>92031482</v>
      </c>
      <c r="V6" s="358">
        <f t="shared" si="1"/>
        <v>59132344.684877433</v>
      </c>
      <c r="W6" s="358">
        <f t="shared" si="1"/>
        <v>0</v>
      </c>
      <c r="X6" s="358">
        <f t="shared" si="1"/>
        <v>0</v>
      </c>
      <c r="Y6" s="358">
        <f t="shared" si="1"/>
        <v>261974045.84999996</v>
      </c>
      <c r="Z6" s="358">
        <f t="shared" si="1"/>
        <v>92031482</v>
      </c>
      <c r="AA6" s="359">
        <f t="shared" si="1"/>
        <v>261974045.84999996</v>
      </c>
      <c r="AB6" s="12"/>
      <c r="AC6" s="360"/>
      <c r="AD6" s="360"/>
      <c r="AE6" s="360"/>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353"/>
      <c r="DG6" s="353"/>
      <c r="DH6" s="353"/>
      <c r="DI6" s="353"/>
      <c r="DJ6" s="353"/>
      <c r="DK6" s="353"/>
      <c r="DL6" s="353"/>
      <c r="DM6" s="353"/>
      <c r="DN6" s="353"/>
      <c r="DO6" s="353"/>
      <c r="DP6" s="353"/>
      <c r="DQ6" s="353"/>
      <c r="DR6" s="353"/>
      <c r="DS6" s="353"/>
      <c r="DT6" s="353"/>
      <c r="DU6" s="353"/>
      <c r="DV6" s="353"/>
      <c r="DW6" s="353"/>
      <c r="DX6" s="353"/>
      <c r="DY6" s="353"/>
      <c r="DZ6" s="353"/>
      <c r="EA6" s="353"/>
      <c r="EB6" s="353"/>
      <c r="EC6" s="353"/>
      <c r="ED6" s="353"/>
      <c r="EE6" s="353"/>
      <c r="EF6" s="353"/>
      <c r="EG6" s="353"/>
      <c r="EH6" s="353"/>
      <c r="EI6" s="353"/>
      <c r="EJ6" s="353"/>
      <c r="EK6" s="353"/>
      <c r="EL6" s="353"/>
      <c r="EM6" s="353"/>
      <c r="EN6" s="353"/>
      <c r="EO6" s="353"/>
      <c r="EP6" s="353"/>
      <c r="EQ6" s="353"/>
      <c r="ER6" s="353"/>
      <c r="ES6" s="353"/>
      <c r="ET6" s="353"/>
      <c r="EU6" s="353"/>
      <c r="EV6" s="353"/>
      <c r="EW6" s="353"/>
      <c r="EX6" s="353"/>
      <c r="EY6" s="353"/>
      <c r="EZ6" s="353"/>
      <c r="FA6" s="353"/>
      <c r="FB6" s="353"/>
      <c r="FC6" s="353"/>
      <c r="FD6" s="353"/>
      <c r="FE6" s="353"/>
      <c r="FF6" s="353"/>
      <c r="FG6" s="353"/>
      <c r="FH6" s="353"/>
      <c r="FI6" s="353"/>
      <c r="FJ6" s="353"/>
      <c r="FK6" s="353"/>
      <c r="FL6" s="353"/>
      <c r="FM6" s="353"/>
      <c r="FN6" s="353"/>
      <c r="FO6" s="353"/>
      <c r="FP6" s="353"/>
      <c r="FQ6" s="353"/>
      <c r="FR6" s="353"/>
      <c r="FS6" s="353"/>
      <c r="FT6" s="353"/>
      <c r="FU6" s="353"/>
      <c r="FV6" s="353"/>
      <c r="FW6" s="353"/>
      <c r="FX6" s="353"/>
      <c r="FY6" s="353"/>
      <c r="FZ6" s="353"/>
      <c r="GA6" s="353"/>
      <c r="GB6" s="353"/>
      <c r="GC6" s="353"/>
      <c r="GD6" s="353"/>
      <c r="GE6" s="353"/>
      <c r="GF6" s="353"/>
      <c r="GG6" s="353"/>
      <c r="GH6" s="353"/>
      <c r="GI6" s="353"/>
      <c r="GJ6" s="353"/>
      <c r="GK6" s="353"/>
      <c r="GL6" s="353"/>
      <c r="GM6" s="353"/>
      <c r="GN6" s="353"/>
      <c r="GO6" s="353"/>
      <c r="GP6" s="353"/>
      <c r="GQ6" s="353"/>
      <c r="GR6" s="353"/>
      <c r="GS6" s="353"/>
      <c r="GT6" s="353"/>
      <c r="GU6" s="353"/>
      <c r="GV6" s="353"/>
      <c r="GW6" s="353"/>
      <c r="GX6" s="353"/>
      <c r="GY6" s="353"/>
      <c r="GZ6" s="353"/>
      <c r="HA6" s="353"/>
      <c r="HB6" s="353"/>
      <c r="HC6" s="353"/>
      <c r="HD6" s="353"/>
      <c r="HE6" s="353"/>
      <c r="HF6" s="353"/>
      <c r="HG6" s="353"/>
      <c r="HH6" s="353"/>
      <c r="HI6" s="353"/>
      <c r="HJ6" s="353"/>
      <c r="HK6" s="353"/>
      <c r="HL6" s="353"/>
      <c r="HM6" s="353"/>
      <c r="HN6" s="353"/>
      <c r="HO6" s="353"/>
      <c r="HP6" s="353"/>
      <c r="HQ6" s="353"/>
      <c r="HR6" s="353"/>
      <c r="HS6" s="353"/>
      <c r="HT6" s="353"/>
      <c r="HU6" s="353"/>
      <c r="HV6" s="353"/>
      <c r="HW6" s="353"/>
      <c r="HX6" s="353"/>
      <c r="HY6" s="353"/>
      <c r="HZ6" s="353"/>
      <c r="IA6" s="353"/>
      <c r="IB6" s="353"/>
      <c r="IC6" s="353"/>
      <c r="ID6" s="353"/>
      <c r="IE6" s="353"/>
      <c r="IF6" s="353"/>
      <c r="IG6" s="353"/>
      <c r="IH6" s="353"/>
      <c r="II6" s="353"/>
      <c r="IJ6" s="353"/>
      <c r="IK6" s="353"/>
      <c r="IL6" s="353"/>
      <c r="IM6" s="353"/>
      <c r="IN6" s="353"/>
      <c r="IO6" s="353"/>
      <c r="IP6" s="353"/>
      <c r="IQ6" s="353"/>
      <c r="IR6" s="353"/>
      <c r="IS6" s="353"/>
      <c r="IT6" s="353"/>
      <c r="IU6" s="353"/>
      <c r="IV6" s="353"/>
      <c r="IW6" s="353"/>
      <c r="IX6" s="353"/>
      <c r="IY6" s="353"/>
      <c r="IZ6" s="353"/>
      <c r="JA6" s="353"/>
      <c r="JB6" s="353"/>
      <c r="JC6" s="353"/>
      <c r="JD6" s="353"/>
      <c r="JE6" s="353"/>
      <c r="JF6" s="353"/>
      <c r="JG6" s="353"/>
      <c r="JH6" s="353"/>
      <c r="JI6" s="353"/>
      <c r="JJ6" s="353"/>
      <c r="JK6" s="353"/>
      <c r="JL6" s="353"/>
      <c r="JM6" s="353"/>
      <c r="JN6" s="353"/>
      <c r="JO6" s="353"/>
      <c r="JP6" s="353"/>
      <c r="JQ6" s="353"/>
      <c r="JR6" s="353"/>
      <c r="JS6" s="353"/>
      <c r="JT6" s="353"/>
      <c r="JU6" s="353"/>
      <c r="JV6" s="353"/>
      <c r="JW6" s="353"/>
      <c r="JX6" s="353"/>
      <c r="JY6" s="353"/>
      <c r="JZ6" s="353"/>
      <c r="KA6" s="353"/>
      <c r="KB6" s="353"/>
      <c r="KC6" s="353"/>
      <c r="KD6" s="353"/>
      <c r="KE6" s="353"/>
      <c r="KF6" s="353"/>
      <c r="KG6" s="353"/>
      <c r="KH6" s="353"/>
      <c r="KI6" s="353"/>
      <c r="KJ6" s="353"/>
      <c r="KK6" s="353"/>
      <c r="KL6" s="353"/>
      <c r="KM6" s="353"/>
      <c r="KN6" s="353"/>
      <c r="KO6" s="353"/>
      <c r="KP6" s="353"/>
      <c r="KQ6" s="353"/>
      <c r="KR6" s="353"/>
      <c r="KS6" s="353"/>
      <c r="KT6" s="353"/>
      <c r="KU6" s="353"/>
      <c r="KV6" s="353"/>
      <c r="KW6" s="353"/>
      <c r="KX6" s="353"/>
      <c r="KY6" s="353"/>
      <c r="KZ6" s="353"/>
      <c r="LA6" s="353"/>
      <c r="LB6" s="353"/>
      <c r="LC6" s="353"/>
      <c r="LD6" s="353"/>
      <c r="LE6" s="353"/>
      <c r="LF6" s="353"/>
      <c r="LG6" s="353"/>
      <c r="LH6" s="353"/>
      <c r="LI6" s="353"/>
      <c r="LJ6" s="353"/>
      <c r="LK6" s="353"/>
      <c r="LL6" s="353"/>
      <c r="LM6" s="353"/>
      <c r="LN6" s="353"/>
      <c r="LO6" s="353"/>
      <c r="LP6" s="353"/>
      <c r="LQ6" s="353"/>
      <c r="LR6" s="353"/>
      <c r="LS6" s="353"/>
      <c r="LT6" s="353"/>
      <c r="LU6" s="353"/>
      <c r="LV6" s="353"/>
      <c r="LW6" s="353"/>
      <c r="LX6" s="353"/>
      <c r="LY6" s="353"/>
      <c r="LZ6" s="353"/>
      <c r="MA6" s="353"/>
      <c r="MB6" s="353"/>
      <c r="MC6" s="353"/>
      <c r="MD6" s="353"/>
      <c r="ME6" s="353"/>
      <c r="MF6" s="353"/>
      <c r="MG6" s="353"/>
      <c r="MH6" s="353"/>
      <c r="MI6" s="353"/>
      <c r="MJ6" s="353"/>
      <c r="MK6" s="353"/>
      <c r="ML6" s="353"/>
      <c r="MM6" s="353"/>
      <c r="MN6" s="353"/>
      <c r="MO6" s="353"/>
      <c r="MP6" s="353"/>
      <c r="MQ6" s="353"/>
      <c r="MR6" s="353"/>
      <c r="MS6" s="353"/>
      <c r="MT6" s="353"/>
      <c r="MU6" s="353"/>
      <c r="MV6" s="353"/>
      <c r="MW6" s="353"/>
      <c r="MX6" s="353"/>
      <c r="MY6" s="353"/>
      <c r="MZ6" s="353"/>
      <c r="NA6" s="353"/>
      <c r="NB6" s="353"/>
      <c r="NC6" s="353"/>
      <c r="ND6" s="353"/>
      <c r="NE6" s="353"/>
      <c r="NF6" s="353"/>
      <c r="NG6" s="353"/>
      <c r="NH6" s="353"/>
      <c r="NI6" s="353"/>
      <c r="NJ6" s="353"/>
      <c r="NK6" s="353"/>
      <c r="NL6" s="353"/>
      <c r="NM6" s="353"/>
      <c r="NN6" s="353"/>
      <c r="NO6" s="353"/>
      <c r="NP6" s="353"/>
      <c r="NQ6" s="353"/>
      <c r="NR6" s="353"/>
      <c r="NS6" s="353"/>
      <c r="NT6" s="353"/>
      <c r="NU6" s="353"/>
      <c r="NV6" s="353"/>
      <c r="NW6" s="353"/>
      <c r="NX6" s="353"/>
      <c r="NY6" s="353"/>
      <c r="NZ6" s="353"/>
      <c r="OA6" s="353"/>
      <c r="OB6" s="353"/>
      <c r="OC6" s="353"/>
      <c r="OD6" s="353"/>
      <c r="OE6" s="353"/>
      <c r="OF6" s="353"/>
      <c r="OG6" s="353"/>
      <c r="OH6" s="353"/>
      <c r="OI6" s="353"/>
      <c r="OJ6" s="353"/>
      <c r="OK6" s="353"/>
      <c r="OL6" s="353"/>
      <c r="OM6" s="353"/>
      <c r="ON6" s="353"/>
      <c r="OO6" s="353"/>
      <c r="OP6" s="353"/>
      <c r="OQ6" s="353"/>
      <c r="OR6" s="353"/>
      <c r="OS6" s="353"/>
      <c r="OT6" s="353"/>
      <c r="OU6" s="353"/>
      <c r="OV6" s="353"/>
      <c r="OW6" s="353"/>
      <c r="OX6" s="353"/>
      <c r="OY6" s="353"/>
      <c r="OZ6" s="353"/>
      <c r="PA6" s="353"/>
      <c r="PB6" s="353"/>
      <c r="PC6" s="353"/>
      <c r="PD6" s="353"/>
      <c r="PE6" s="353"/>
      <c r="PF6" s="353"/>
      <c r="PG6" s="353"/>
      <c r="PH6" s="353"/>
      <c r="PI6" s="353"/>
      <c r="PJ6" s="353"/>
      <c r="PK6" s="353"/>
      <c r="PL6" s="353"/>
      <c r="PM6" s="353"/>
      <c r="PN6" s="353"/>
      <c r="PO6" s="353"/>
      <c r="PP6" s="353"/>
      <c r="PQ6" s="353"/>
      <c r="PR6" s="353"/>
      <c r="PS6" s="353"/>
      <c r="PT6" s="353"/>
      <c r="PU6" s="353"/>
      <c r="PV6" s="353"/>
      <c r="PW6" s="353"/>
      <c r="PX6" s="353"/>
      <c r="PY6" s="353"/>
      <c r="PZ6" s="353"/>
      <c r="QA6" s="353"/>
      <c r="QB6" s="353"/>
      <c r="QC6" s="353"/>
      <c r="QD6" s="353"/>
      <c r="QE6" s="353"/>
      <c r="QF6" s="353"/>
      <c r="QG6" s="353"/>
      <c r="QH6" s="353"/>
      <c r="QI6" s="353"/>
      <c r="QJ6" s="353"/>
      <c r="QK6" s="353"/>
      <c r="QL6" s="353"/>
      <c r="QM6" s="353"/>
      <c r="QN6" s="353"/>
      <c r="QO6" s="353"/>
      <c r="QP6" s="353"/>
      <c r="QQ6" s="353"/>
      <c r="QR6" s="353"/>
      <c r="QS6" s="353"/>
      <c r="QT6" s="353"/>
      <c r="QU6" s="353"/>
      <c r="QV6" s="353"/>
      <c r="QW6" s="353"/>
      <c r="QX6" s="353"/>
      <c r="QY6" s="353"/>
      <c r="QZ6" s="353"/>
      <c r="RA6" s="353"/>
      <c r="RB6" s="353"/>
      <c r="RC6" s="353"/>
      <c r="RD6" s="353"/>
      <c r="RE6" s="353"/>
      <c r="RF6" s="353"/>
      <c r="RG6" s="353"/>
      <c r="RH6" s="353"/>
      <c r="RI6" s="353"/>
      <c r="RJ6" s="353"/>
      <c r="RK6" s="353"/>
      <c r="RL6" s="353"/>
      <c r="RM6" s="353"/>
      <c r="RN6" s="353"/>
      <c r="RO6" s="353"/>
      <c r="RP6" s="353"/>
      <c r="RQ6" s="353"/>
      <c r="RR6" s="353"/>
      <c r="RS6" s="353"/>
      <c r="RT6" s="353"/>
      <c r="RU6" s="353"/>
      <c r="RV6" s="353"/>
      <c r="RW6" s="353"/>
      <c r="RX6" s="353"/>
      <c r="RY6" s="353"/>
      <c r="RZ6" s="353"/>
      <c r="SA6" s="353"/>
      <c r="SB6" s="353"/>
      <c r="SC6" s="353"/>
      <c r="SD6" s="353"/>
      <c r="SE6" s="353"/>
      <c r="SF6" s="353"/>
      <c r="SG6" s="353"/>
      <c r="SH6" s="353"/>
      <c r="SI6" s="353"/>
      <c r="SJ6" s="353"/>
      <c r="SK6" s="353"/>
      <c r="SL6" s="353"/>
      <c r="SM6" s="353"/>
      <c r="SN6" s="353"/>
      <c r="SO6" s="353"/>
      <c r="SP6" s="353"/>
      <c r="SQ6" s="353"/>
      <c r="SR6" s="353"/>
      <c r="SS6" s="353"/>
      <c r="ST6" s="353"/>
      <c r="SU6" s="353"/>
      <c r="SV6" s="353"/>
      <c r="SW6" s="353"/>
      <c r="SX6" s="353"/>
      <c r="SY6" s="353"/>
      <c r="SZ6" s="353"/>
      <c r="TA6" s="353"/>
      <c r="TB6" s="353"/>
      <c r="TC6" s="353"/>
      <c r="TD6" s="353"/>
      <c r="TE6" s="353"/>
      <c r="TF6" s="353"/>
      <c r="TG6" s="353"/>
      <c r="TH6" s="353"/>
      <c r="TI6" s="353"/>
      <c r="TJ6" s="353"/>
      <c r="TK6" s="353"/>
      <c r="TL6" s="353"/>
      <c r="TM6" s="353"/>
      <c r="TN6" s="353"/>
      <c r="TO6" s="353"/>
      <c r="TP6" s="353"/>
      <c r="TQ6" s="353"/>
      <c r="TR6" s="353"/>
      <c r="TS6" s="353"/>
      <c r="TT6" s="353"/>
      <c r="TU6" s="353"/>
      <c r="TV6" s="353"/>
      <c r="TW6" s="353"/>
      <c r="TX6" s="353"/>
      <c r="TY6" s="353"/>
      <c r="TZ6" s="353"/>
      <c r="UA6" s="353"/>
      <c r="UB6" s="353"/>
      <c r="UC6" s="353"/>
      <c r="UD6" s="353"/>
      <c r="UE6" s="353"/>
      <c r="UF6" s="353"/>
      <c r="UG6" s="353"/>
      <c r="UH6" s="353"/>
      <c r="UI6" s="353"/>
      <c r="UJ6" s="353"/>
      <c r="UK6" s="353"/>
      <c r="UL6" s="353"/>
      <c r="UM6" s="353"/>
      <c r="UN6" s="353"/>
      <c r="UO6" s="353"/>
      <c r="UP6" s="353"/>
      <c r="UQ6" s="353"/>
      <c r="UR6" s="353"/>
      <c r="US6" s="353"/>
      <c r="UT6" s="353"/>
      <c r="UU6" s="353"/>
      <c r="UV6" s="353"/>
      <c r="UW6" s="353"/>
      <c r="UX6" s="353"/>
      <c r="UY6" s="353"/>
      <c r="UZ6" s="353"/>
      <c r="VA6" s="353"/>
      <c r="VB6" s="353"/>
      <c r="VC6" s="353"/>
      <c r="VD6" s="353"/>
      <c r="VE6" s="353"/>
      <c r="VF6" s="353"/>
      <c r="VG6" s="353"/>
      <c r="VH6" s="353"/>
      <c r="VI6" s="353"/>
      <c r="VJ6" s="353"/>
      <c r="VK6" s="353"/>
      <c r="VL6" s="353"/>
      <c r="VM6" s="353"/>
      <c r="VN6" s="353"/>
      <c r="VO6" s="353"/>
      <c r="VP6" s="353"/>
      <c r="VQ6" s="353"/>
      <c r="VR6" s="353"/>
      <c r="VS6" s="353"/>
      <c r="VT6" s="353"/>
      <c r="VU6" s="353"/>
      <c r="VV6" s="353"/>
      <c r="VW6" s="353"/>
      <c r="VX6" s="353"/>
      <c r="VY6" s="353"/>
      <c r="VZ6" s="353"/>
      <c r="WA6" s="353"/>
      <c r="WB6" s="353"/>
      <c r="WC6" s="353"/>
      <c r="WD6" s="353"/>
      <c r="WE6" s="353"/>
      <c r="WF6" s="353"/>
      <c r="WG6" s="353"/>
      <c r="WH6" s="353"/>
      <c r="WI6" s="353"/>
      <c r="WJ6" s="353"/>
      <c r="WK6" s="353"/>
      <c r="WL6" s="353"/>
      <c r="WM6" s="353"/>
      <c r="WN6" s="353"/>
      <c r="WO6" s="353"/>
      <c r="WP6" s="353"/>
      <c r="WQ6" s="353"/>
      <c r="WR6" s="353"/>
      <c r="WS6" s="353"/>
      <c r="WT6" s="353"/>
      <c r="WU6" s="353"/>
      <c r="WV6" s="353"/>
      <c r="WW6" s="353"/>
      <c r="WX6" s="353"/>
      <c r="WY6" s="353"/>
      <c r="WZ6" s="353"/>
      <c r="XA6" s="353"/>
      <c r="XB6" s="353"/>
      <c r="XC6" s="353"/>
      <c r="XD6" s="353"/>
      <c r="XE6" s="353"/>
      <c r="XF6" s="353"/>
      <c r="XG6" s="353"/>
      <c r="XH6" s="353"/>
      <c r="XI6" s="353"/>
      <c r="XJ6" s="353"/>
      <c r="XK6" s="353"/>
      <c r="XL6" s="353"/>
      <c r="XM6" s="353"/>
      <c r="XN6" s="353"/>
      <c r="XO6" s="353"/>
      <c r="XP6" s="353"/>
      <c r="XQ6" s="353"/>
      <c r="XR6" s="353"/>
      <c r="XS6" s="353"/>
      <c r="XT6" s="353"/>
      <c r="XU6" s="353"/>
      <c r="XV6" s="353"/>
      <c r="XW6" s="353"/>
      <c r="XX6" s="353"/>
      <c r="XY6" s="353"/>
      <c r="XZ6" s="353"/>
      <c r="YA6" s="353"/>
      <c r="YB6" s="353"/>
      <c r="YC6" s="353"/>
      <c r="YD6" s="353"/>
      <c r="YE6" s="353"/>
      <c r="YF6" s="353"/>
      <c r="YG6" s="353"/>
      <c r="YH6" s="353"/>
      <c r="YI6" s="353"/>
      <c r="YJ6" s="353"/>
      <c r="YK6" s="353"/>
      <c r="YL6" s="353"/>
      <c r="YM6" s="353"/>
      <c r="YN6" s="353"/>
      <c r="YO6" s="353"/>
      <c r="YP6" s="353"/>
      <c r="YQ6" s="353"/>
      <c r="YR6" s="353"/>
      <c r="YS6" s="353"/>
      <c r="YT6" s="353"/>
      <c r="YU6" s="353"/>
      <c r="YV6" s="353"/>
      <c r="YW6" s="353"/>
      <c r="YX6" s="353"/>
      <c r="YY6" s="353"/>
      <c r="YZ6" s="353"/>
      <c r="ZA6" s="353"/>
      <c r="ZB6" s="353"/>
      <c r="ZC6" s="353"/>
      <c r="ZD6" s="353"/>
      <c r="ZE6" s="353"/>
      <c r="ZF6" s="353"/>
      <c r="ZG6" s="353"/>
      <c r="ZH6" s="353"/>
      <c r="ZI6" s="353"/>
      <c r="ZJ6" s="353"/>
      <c r="ZK6" s="353"/>
      <c r="ZL6" s="353"/>
      <c r="ZM6" s="353"/>
      <c r="ZN6" s="353"/>
      <c r="ZO6" s="353"/>
      <c r="ZP6" s="353"/>
      <c r="ZQ6" s="353"/>
      <c r="ZR6" s="353"/>
      <c r="ZS6" s="353"/>
      <c r="ZT6" s="353"/>
      <c r="ZU6" s="353"/>
      <c r="ZV6" s="353"/>
      <c r="ZW6" s="353"/>
      <c r="ZX6" s="353"/>
      <c r="ZY6" s="353"/>
      <c r="ZZ6" s="353"/>
      <c r="AAA6" s="353"/>
      <c r="AAB6" s="353"/>
      <c r="AAC6" s="353"/>
      <c r="AAD6" s="353"/>
      <c r="AAE6" s="353"/>
      <c r="AAF6" s="353"/>
      <c r="AAG6" s="353"/>
      <c r="AAH6" s="353"/>
      <c r="AAI6" s="353"/>
      <c r="AAJ6" s="353"/>
      <c r="AAK6" s="353"/>
      <c r="AAL6" s="353"/>
      <c r="AAM6" s="353"/>
      <c r="AAN6" s="353"/>
      <c r="AAO6" s="353"/>
      <c r="AAP6" s="353"/>
      <c r="AAQ6" s="353"/>
      <c r="AAR6" s="353"/>
      <c r="AAS6" s="353"/>
      <c r="AAT6" s="353"/>
      <c r="AAU6" s="353"/>
      <c r="AAV6" s="353"/>
      <c r="AAW6" s="353"/>
      <c r="AAX6" s="353"/>
      <c r="AAY6" s="353"/>
      <c r="AAZ6" s="353"/>
      <c r="ABA6" s="353"/>
      <c r="ABB6" s="353"/>
      <c r="ABC6" s="353"/>
      <c r="ABD6" s="353"/>
      <c r="ABE6" s="353"/>
      <c r="ABF6" s="353"/>
      <c r="ABG6" s="353"/>
      <c r="ABH6" s="353"/>
      <c r="ABI6" s="353"/>
      <c r="ABJ6" s="353"/>
      <c r="ABK6" s="353"/>
      <c r="ABL6" s="353"/>
      <c r="ABM6" s="353"/>
      <c r="ABN6" s="353"/>
      <c r="ABO6" s="353"/>
      <c r="ABP6" s="353"/>
      <c r="ABQ6" s="353"/>
      <c r="ABR6" s="353"/>
      <c r="ABS6" s="353"/>
      <c r="ABT6" s="353"/>
      <c r="ABU6" s="353"/>
      <c r="ABV6" s="353"/>
      <c r="ABW6" s="353"/>
      <c r="ABX6" s="353"/>
      <c r="ABY6" s="353"/>
      <c r="ABZ6" s="353"/>
      <c r="ACA6" s="353"/>
      <c r="ACB6" s="353"/>
      <c r="ACC6" s="353"/>
      <c r="ACD6" s="353"/>
      <c r="ACE6" s="353"/>
      <c r="ACF6" s="353"/>
      <c r="ACG6" s="353"/>
      <c r="ACH6" s="353"/>
      <c r="ACI6" s="353"/>
      <c r="ACJ6" s="353"/>
      <c r="ACK6" s="353"/>
      <c r="ACL6" s="353"/>
      <c r="ACM6" s="353"/>
      <c r="ACN6" s="353"/>
      <c r="ACO6" s="353"/>
      <c r="ACP6" s="353"/>
      <c r="ACQ6" s="353"/>
      <c r="ACR6" s="353"/>
      <c r="ACS6" s="353"/>
      <c r="ACT6" s="353"/>
      <c r="ACU6" s="353"/>
      <c r="ACV6" s="353"/>
      <c r="ACW6" s="353"/>
      <c r="ACX6" s="353"/>
      <c r="ACY6" s="353"/>
      <c r="ACZ6" s="353"/>
      <c r="ADA6" s="353"/>
      <c r="ADB6" s="353"/>
      <c r="ADC6" s="353"/>
      <c r="ADD6" s="353"/>
      <c r="ADE6" s="353"/>
      <c r="ADF6" s="353"/>
      <c r="ADG6" s="353"/>
      <c r="ADH6" s="353"/>
      <c r="ADI6" s="353"/>
      <c r="ADJ6" s="353"/>
      <c r="ADK6" s="353"/>
      <c r="ADL6" s="353"/>
      <c r="ADM6" s="353"/>
      <c r="ADN6" s="353"/>
      <c r="ADO6" s="353"/>
      <c r="ADP6" s="353"/>
      <c r="ADQ6" s="353"/>
      <c r="ADR6" s="353"/>
      <c r="ADS6" s="353"/>
      <c r="ADT6" s="353"/>
      <c r="ADU6" s="353"/>
      <c r="ADV6" s="353"/>
      <c r="ADW6" s="353"/>
      <c r="ADX6" s="353"/>
      <c r="ADY6" s="353"/>
      <c r="ADZ6" s="353"/>
      <c r="AEA6" s="353"/>
      <c r="AEB6" s="353"/>
      <c r="AEC6" s="353"/>
      <c r="AED6" s="353"/>
      <c r="AEE6" s="353"/>
      <c r="AEF6" s="353"/>
      <c r="AEG6" s="353"/>
      <c r="AEH6" s="353"/>
      <c r="AEI6" s="353"/>
      <c r="AEJ6" s="353"/>
      <c r="AEK6" s="353"/>
      <c r="AEL6" s="353"/>
      <c r="AEM6" s="353"/>
      <c r="AEN6" s="353"/>
      <c r="AEO6" s="353"/>
      <c r="AEP6" s="353"/>
      <c r="AEQ6" s="353"/>
      <c r="AER6" s="353"/>
      <c r="AES6" s="353"/>
      <c r="AET6" s="353"/>
      <c r="AEU6" s="353"/>
      <c r="AEV6" s="353"/>
      <c r="AEW6" s="353"/>
      <c r="AEX6" s="353"/>
      <c r="AEY6" s="353"/>
      <c r="AEZ6" s="353"/>
      <c r="AFA6" s="353"/>
      <c r="AFB6" s="353"/>
      <c r="AFC6" s="353"/>
      <c r="AFD6" s="353"/>
      <c r="AFE6" s="353"/>
      <c r="AFF6" s="353"/>
      <c r="AFG6" s="353"/>
      <c r="AFH6" s="353"/>
      <c r="AFI6" s="353"/>
      <c r="AFJ6" s="353"/>
      <c r="AFK6" s="353"/>
      <c r="AFL6" s="353"/>
      <c r="AFM6" s="353"/>
      <c r="AFN6" s="353"/>
      <c r="AFO6" s="353"/>
      <c r="AFP6" s="353"/>
      <c r="AFQ6" s="353"/>
      <c r="AFR6" s="353"/>
      <c r="AFS6" s="353"/>
      <c r="AFT6" s="353"/>
      <c r="AFU6" s="353"/>
      <c r="AFV6" s="353"/>
      <c r="AFW6" s="353"/>
      <c r="AFX6" s="353"/>
      <c r="AFY6" s="353"/>
      <c r="AFZ6" s="353"/>
      <c r="AGA6" s="353"/>
      <c r="AGB6" s="353"/>
      <c r="AGC6" s="353"/>
      <c r="AGD6" s="353"/>
      <c r="AGE6" s="353"/>
      <c r="AGF6" s="353"/>
      <c r="AGG6" s="353"/>
      <c r="AGH6" s="353"/>
      <c r="AGI6" s="353"/>
      <c r="AGJ6" s="353"/>
      <c r="AGK6" s="353"/>
      <c r="AGL6" s="353"/>
      <c r="AGM6" s="353"/>
      <c r="AGN6" s="353"/>
      <c r="AGO6" s="353"/>
      <c r="AGP6" s="353"/>
      <c r="AGQ6" s="353"/>
      <c r="AGR6" s="353"/>
      <c r="AGS6" s="353"/>
      <c r="AGT6" s="353"/>
      <c r="AGU6" s="353"/>
      <c r="AGV6" s="353"/>
      <c r="AGW6" s="353"/>
      <c r="AGX6" s="353"/>
      <c r="AGY6" s="353"/>
      <c r="AGZ6" s="353"/>
      <c r="AHA6" s="353"/>
      <c r="AHB6" s="353"/>
      <c r="AHC6" s="353"/>
      <c r="AHD6" s="353"/>
      <c r="AHE6" s="353"/>
      <c r="AHF6" s="353"/>
      <c r="AHG6" s="353"/>
      <c r="AHH6" s="353"/>
      <c r="AHI6" s="353"/>
      <c r="AHJ6" s="353"/>
      <c r="AHK6" s="353"/>
      <c r="AHL6" s="353"/>
      <c r="AHM6" s="353"/>
      <c r="AHN6" s="353"/>
      <c r="AHO6" s="353"/>
      <c r="AHP6" s="353"/>
      <c r="AHQ6" s="353"/>
      <c r="AHR6" s="353"/>
      <c r="AHS6" s="353"/>
      <c r="AHT6" s="353"/>
      <c r="AHU6" s="353"/>
      <c r="AHV6" s="353"/>
      <c r="AHW6" s="353"/>
      <c r="AHX6" s="353"/>
      <c r="AHY6" s="353"/>
      <c r="AHZ6" s="353"/>
      <c r="AIA6" s="353"/>
      <c r="AIB6" s="353"/>
      <c r="AIC6" s="353"/>
      <c r="AID6" s="353"/>
      <c r="AIE6" s="353"/>
      <c r="AIF6" s="353"/>
      <c r="AIG6" s="353"/>
      <c r="AIH6" s="353"/>
      <c r="AII6" s="353"/>
      <c r="AIJ6" s="353"/>
      <c r="AIK6" s="353"/>
      <c r="AIL6" s="353"/>
      <c r="AIM6" s="353"/>
      <c r="AIN6" s="353"/>
      <c r="AIO6" s="353"/>
      <c r="AIP6" s="353"/>
      <c r="AIQ6" s="353"/>
      <c r="AIR6" s="353"/>
      <c r="AIS6" s="353"/>
      <c r="AIT6" s="353"/>
      <c r="AIU6" s="353"/>
      <c r="AIV6" s="353"/>
      <c r="AIW6" s="353"/>
      <c r="AIX6" s="353"/>
      <c r="AIY6" s="353"/>
      <c r="AIZ6" s="353"/>
      <c r="AJA6" s="353"/>
      <c r="AJB6" s="353"/>
      <c r="AJC6" s="353"/>
      <c r="AJD6" s="353"/>
      <c r="AJE6" s="353"/>
      <c r="AJF6" s="353"/>
      <c r="AJG6" s="353"/>
      <c r="AJH6" s="353"/>
      <c r="AJI6" s="353"/>
      <c r="AJJ6" s="353"/>
      <c r="AJK6" s="353"/>
      <c r="AJL6" s="353"/>
      <c r="AJM6" s="353"/>
      <c r="AJN6" s="353"/>
      <c r="AJO6" s="353"/>
      <c r="AJP6" s="353"/>
      <c r="AJQ6" s="353"/>
      <c r="AJR6" s="353"/>
      <c r="AJS6" s="353"/>
      <c r="AJT6" s="353"/>
      <c r="AJU6" s="353"/>
      <c r="AJV6" s="353"/>
      <c r="AJW6" s="353"/>
      <c r="AJX6" s="353"/>
      <c r="AJY6" s="353"/>
      <c r="AJZ6" s="353"/>
      <c r="AKA6" s="353"/>
      <c r="AKB6" s="353"/>
      <c r="AKC6" s="353"/>
      <c r="AKD6" s="353"/>
      <c r="AKE6" s="353"/>
      <c r="AKF6" s="353"/>
      <c r="AKG6" s="353"/>
      <c r="AKH6" s="353"/>
      <c r="AKI6" s="353"/>
      <c r="AKJ6" s="353"/>
      <c r="AKK6" s="353"/>
      <c r="AKL6" s="353"/>
      <c r="AKM6" s="353"/>
      <c r="AKN6" s="353"/>
      <c r="AKO6" s="353"/>
      <c r="AKP6" s="353"/>
      <c r="AKQ6" s="353"/>
      <c r="AKR6" s="353"/>
      <c r="AKS6" s="353"/>
      <c r="AKT6" s="353"/>
      <c r="AKU6" s="353"/>
      <c r="AKV6" s="353"/>
      <c r="AKW6" s="353"/>
      <c r="AKX6" s="353"/>
      <c r="AKY6" s="353"/>
      <c r="AKZ6" s="353"/>
      <c r="ALA6" s="353"/>
      <c r="ALB6" s="353"/>
      <c r="ALC6" s="353"/>
      <c r="ALD6" s="353"/>
      <c r="ALE6" s="353"/>
      <c r="ALF6" s="353"/>
      <c r="ALG6" s="353"/>
      <c r="ALH6" s="353"/>
      <c r="ALI6" s="353"/>
      <c r="ALJ6" s="353"/>
      <c r="ALK6" s="353"/>
      <c r="ALL6" s="353"/>
      <c r="ALM6" s="353"/>
      <c r="ALN6" s="353"/>
      <c r="ALO6" s="353"/>
      <c r="ALP6" s="353"/>
      <c r="ALQ6" s="353"/>
      <c r="ALR6" s="353"/>
      <c r="ALS6" s="353"/>
      <c r="ALT6" s="353"/>
      <c r="ALU6" s="353"/>
      <c r="ALV6" s="353"/>
      <c r="ALW6" s="353"/>
      <c r="ALX6" s="353"/>
      <c r="ALY6" s="353"/>
      <c r="ALZ6" s="353"/>
      <c r="AMA6" s="353"/>
      <c r="AMB6" s="353"/>
      <c r="AMC6" s="353"/>
      <c r="AMD6" s="353"/>
      <c r="AME6" s="353"/>
      <c r="AMF6" s="353"/>
      <c r="AMG6" s="353"/>
      <c r="AMH6" s="353"/>
      <c r="AMI6" s="353"/>
      <c r="AMJ6" s="353"/>
      <c r="AMK6" s="353"/>
      <c r="AML6" s="353"/>
      <c r="AMM6" s="353"/>
      <c r="AMN6" s="353"/>
      <c r="AMO6" s="353"/>
      <c r="AMP6" s="353"/>
    </row>
    <row r="7" spans="1:1030" s="354" customFormat="1" ht="15" customHeight="1" thickBot="1" x14ac:dyDescent="0.3">
      <c r="A7" s="7"/>
      <c r="C7" s="724"/>
      <c r="D7" s="355"/>
      <c r="E7" s="361" t="s">
        <v>243</v>
      </c>
      <c r="F7" s="12"/>
      <c r="G7" s="12"/>
      <c r="H7" s="347"/>
      <c r="I7" s="728" t="s">
        <v>244</v>
      </c>
      <c r="J7" s="729"/>
      <c r="K7" s="730"/>
      <c r="L7" s="731">
        <f>SUM(L5:M6)</f>
        <v>12</v>
      </c>
      <c r="M7" s="730"/>
      <c r="N7" s="362">
        <f t="shared" ref="N7:AA7" si="2">SUM(N5:N6)</f>
        <v>428434254.83999997</v>
      </c>
      <c r="O7" s="362">
        <f t="shared" si="2"/>
        <v>0</v>
      </c>
      <c r="P7" s="362">
        <f t="shared" si="2"/>
        <v>40501180.794349447</v>
      </c>
      <c r="Q7" s="363">
        <f t="shared" si="2"/>
        <v>0</v>
      </c>
      <c r="R7" s="363">
        <f t="shared" si="2"/>
        <v>428434254.83999997</v>
      </c>
      <c r="S7" s="363">
        <f t="shared" si="2"/>
        <v>358569122.83512259</v>
      </c>
      <c r="T7" s="363">
        <f t="shared" si="2"/>
        <v>358569122.83512259</v>
      </c>
      <c r="U7" s="363">
        <f t="shared" si="2"/>
        <v>125965333</v>
      </c>
      <c r="V7" s="363">
        <f t="shared" si="2"/>
        <v>69865132.004877433</v>
      </c>
      <c r="W7" s="363">
        <f t="shared" si="2"/>
        <v>0</v>
      </c>
      <c r="X7" s="363">
        <f t="shared" si="2"/>
        <v>0</v>
      </c>
      <c r="Y7" s="363">
        <f t="shared" si="2"/>
        <v>358569122.84999996</v>
      </c>
      <c r="Z7" s="363">
        <f t="shared" si="2"/>
        <v>125965333</v>
      </c>
      <c r="AA7" s="364">
        <f t="shared" si="2"/>
        <v>261974045.84999996</v>
      </c>
      <c r="AB7" s="12"/>
      <c r="AC7" s="360"/>
      <c r="AD7" s="360"/>
      <c r="AE7" s="360"/>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3"/>
      <c r="DF7" s="353"/>
      <c r="DG7" s="353"/>
      <c r="DH7" s="353"/>
      <c r="DI7" s="353"/>
      <c r="DJ7" s="353"/>
      <c r="DK7" s="353"/>
      <c r="DL7" s="353"/>
      <c r="DM7" s="353"/>
      <c r="DN7" s="353"/>
      <c r="DO7" s="353"/>
      <c r="DP7" s="353"/>
      <c r="DQ7" s="353"/>
      <c r="DR7" s="353"/>
      <c r="DS7" s="353"/>
      <c r="DT7" s="353"/>
      <c r="DU7" s="353"/>
      <c r="DV7" s="353"/>
      <c r="DW7" s="353"/>
      <c r="DX7" s="353"/>
      <c r="DY7" s="353"/>
      <c r="DZ7" s="353"/>
      <c r="EA7" s="353"/>
      <c r="EB7" s="353"/>
      <c r="EC7" s="353"/>
      <c r="ED7" s="353"/>
      <c r="EE7" s="353"/>
      <c r="EF7" s="353"/>
      <c r="EG7" s="353"/>
      <c r="EH7" s="353"/>
      <c r="EI7" s="353"/>
      <c r="EJ7" s="353"/>
      <c r="EK7" s="353"/>
      <c r="EL7" s="353"/>
      <c r="EM7" s="353"/>
      <c r="EN7" s="353"/>
      <c r="EO7" s="353"/>
      <c r="EP7" s="353"/>
      <c r="EQ7" s="353"/>
      <c r="ER7" s="353"/>
      <c r="ES7" s="353"/>
      <c r="ET7" s="353"/>
      <c r="EU7" s="353"/>
      <c r="EV7" s="353"/>
      <c r="EW7" s="353"/>
      <c r="EX7" s="353"/>
      <c r="EY7" s="353"/>
      <c r="EZ7" s="353"/>
      <c r="FA7" s="353"/>
      <c r="FB7" s="353"/>
      <c r="FC7" s="353"/>
      <c r="FD7" s="353"/>
      <c r="FE7" s="353"/>
      <c r="FF7" s="353"/>
      <c r="FG7" s="353"/>
      <c r="FH7" s="353"/>
      <c r="FI7" s="353"/>
      <c r="FJ7" s="353"/>
      <c r="FK7" s="353"/>
      <c r="FL7" s="353"/>
      <c r="FM7" s="353"/>
      <c r="FN7" s="353"/>
      <c r="FO7" s="353"/>
      <c r="FP7" s="353"/>
      <c r="FQ7" s="353"/>
      <c r="FR7" s="353"/>
      <c r="FS7" s="353"/>
      <c r="FT7" s="353"/>
      <c r="FU7" s="353"/>
      <c r="FV7" s="353"/>
      <c r="FW7" s="353"/>
      <c r="FX7" s="353"/>
      <c r="FY7" s="353"/>
      <c r="FZ7" s="353"/>
      <c r="GA7" s="353"/>
      <c r="GB7" s="353"/>
      <c r="GC7" s="353"/>
      <c r="GD7" s="353"/>
      <c r="GE7" s="353"/>
      <c r="GF7" s="353"/>
      <c r="GG7" s="353"/>
      <c r="GH7" s="353"/>
      <c r="GI7" s="353"/>
      <c r="GJ7" s="353"/>
      <c r="GK7" s="353"/>
      <c r="GL7" s="353"/>
      <c r="GM7" s="353"/>
      <c r="GN7" s="353"/>
      <c r="GO7" s="353"/>
      <c r="GP7" s="353"/>
      <c r="GQ7" s="353"/>
      <c r="GR7" s="353"/>
      <c r="GS7" s="353"/>
      <c r="GT7" s="353"/>
      <c r="GU7" s="353"/>
      <c r="GV7" s="353"/>
      <c r="GW7" s="353"/>
      <c r="GX7" s="353"/>
      <c r="GY7" s="353"/>
      <c r="GZ7" s="353"/>
      <c r="HA7" s="353"/>
      <c r="HB7" s="353"/>
      <c r="HC7" s="353"/>
      <c r="HD7" s="353"/>
      <c r="HE7" s="353"/>
      <c r="HF7" s="353"/>
      <c r="HG7" s="353"/>
      <c r="HH7" s="353"/>
      <c r="HI7" s="353"/>
      <c r="HJ7" s="353"/>
      <c r="HK7" s="353"/>
      <c r="HL7" s="353"/>
      <c r="HM7" s="353"/>
      <c r="HN7" s="353"/>
      <c r="HO7" s="353"/>
      <c r="HP7" s="353"/>
      <c r="HQ7" s="353"/>
      <c r="HR7" s="353"/>
      <c r="HS7" s="353"/>
      <c r="HT7" s="353"/>
      <c r="HU7" s="353"/>
      <c r="HV7" s="353"/>
      <c r="HW7" s="353"/>
      <c r="HX7" s="353"/>
      <c r="HY7" s="353"/>
      <c r="HZ7" s="353"/>
      <c r="IA7" s="353"/>
      <c r="IB7" s="353"/>
      <c r="IC7" s="353"/>
      <c r="ID7" s="353"/>
      <c r="IE7" s="353"/>
      <c r="IF7" s="353"/>
      <c r="IG7" s="353"/>
      <c r="IH7" s="353"/>
      <c r="II7" s="353"/>
      <c r="IJ7" s="353"/>
      <c r="IK7" s="353"/>
      <c r="IL7" s="353"/>
      <c r="IM7" s="353"/>
      <c r="IN7" s="353"/>
      <c r="IO7" s="353"/>
      <c r="IP7" s="353"/>
      <c r="IQ7" s="353"/>
      <c r="IR7" s="353"/>
      <c r="IS7" s="353"/>
      <c r="IT7" s="353"/>
      <c r="IU7" s="353"/>
      <c r="IV7" s="353"/>
      <c r="IW7" s="353"/>
      <c r="IX7" s="353"/>
      <c r="IY7" s="353"/>
      <c r="IZ7" s="353"/>
      <c r="JA7" s="353"/>
      <c r="JB7" s="353"/>
      <c r="JC7" s="353"/>
      <c r="JD7" s="353"/>
      <c r="JE7" s="353"/>
      <c r="JF7" s="353"/>
      <c r="JG7" s="353"/>
      <c r="JH7" s="353"/>
      <c r="JI7" s="353"/>
      <c r="JJ7" s="353"/>
      <c r="JK7" s="353"/>
      <c r="JL7" s="353"/>
      <c r="JM7" s="353"/>
      <c r="JN7" s="353"/>
      <c r="JO7" s="353"/>
      <c r="JP7" s="353"/>
      <c r="JQ7" s="353"/>
      <c r="JR7" s="353"/>
      <c r="JS7" s="353"/>
      <c r="JT7" s="353"/>
      <c r="JU7" s="353"/>
      <c r="JV7" s="353"/>
      <c r="JW7" s="353"/>
      <c r="JX7" s="353"/>
      <c r="JY7" s="353"/>
      <c r="JZ7" s="353"/>
      <c r="KA7" s="353"/>
      <c r="KB7" s="353"/>
      <c r="KC7" s="353"/>
      <c r="KD7" s="353"/>
      <c r="KE7" s="353"/>
      <c r="KF7" s="353"/>
      <c r="KG7" s="353"/>
      <c r="KH7" s="353"/>
      <c r="KI7" s="353"/>
      <c r="KJ7" s="353"/>
      <c r="KK7" s="353"/>
      <c r="KL7" s="353"/>
      <c r="KM7" s="353"/>
      <c r="KN7" s="353"/>
      <c r="KO7" s="353"/>
      <c r="KP7" s="353"/>
      <c r="KQ7" s="353"/>
      <c r="KR7" s="353"/>
      <c r="KS7" s="353"/>
      <c r="KT7" s="353"/>
      <c r="KU7" s="353"/>
      <c r="KV7" s="353"/>
      <c r="KW7" s="353"/>
      <c r="KX7" s="353"/>
      <c r="KY7" s="353"/>
      <c r="KZ7" s="353"/>
      <c r="LA7" s="353"/>
      <c r="LB7" s="353"/>
      <c r="LC7" s="353"/>
      <c r="LD7" s="353"/>
      <c r="LE7" s="353"/>
      <c r="LF7" s="353"/>
      <c r="LG7" s="353"/>
      <c r="LH7" s="353"/>
      <c r="LI7" s="353"/>
      <c r="LJ7" s="353"/>
      <c r="LK7" s="353"/>
      <c r="LL7" s="353"/>
      <c r="LM7" s="353"/>
      <c r="LN7" s="353"/>
      <c r="LO7" s="353"/>
      <c r="LP7" s="353"/>
      <c r="LQ7" s="353"/>
      <c r="LR7" s="353"/>
      <c r="LS7" s="353"/>
      <c r="LT7" s="353"/>
      <c r="LU7" s="353"/>
      <c r="LV7" s="353"/>
      <c r="LW7" s="353"/>
      <c r="LX7" s="353"/>
      <c r="LY7" s="353"/>
      <c r="LZ7" s="353"/>
      <c r="MA7" s="353"/>
      <c r="MB7" s="353"/>
      <c r="MC7" s="353"/>
      <c r="MD7" s="353"/>
      <c r="ME7" s="353"/>
      <c r="MF7" s="353"/>
      <c r="MG7" s="353"/>
      <c r="MH7" s="353"/>
      <c r="MI7" s="353"/>
      <c r="MJ7" s="353"/>
      <c r="MK7" s="353"/>
      <c r="ML7" s="353"/>
      <c r="MM7" s="353"/>
      <c r="MN7" s="353"/>
      <c r="MO7" s="353"/>
      <c r="MP7" s="353"/>
      <c r="MQ7" s="353"/>
      <c r="MR7" s="353"/>
      <c r="MS7" s="353"/>
      <c r="MT7" s="353"/>
      <c r="MU7" s="353"/>
      <c r="MV7" s="353"/>
      <c r="MW7" s="353"/>
      <c r="MX7" s="353"/>
      <c r="MY7" s="353"/>
      <c r="MZ7" s="353"/>
      <c r="NA7" s="353"/>
      <c r="NB7" s="353"/>
      <c r="NC7" s="353"/>
      <c r="ND7" s="353"/>
      <c r="NE7" s="353"/>
      <c r="NF7" s="353"/>
      <c r="NG7" s="353"/>
      <c r="NH7" s="353"/>
      <c r="NI7" s="353"/>
      <c r="NJ7" s="353"/>
      <c r="NK7" s="353"/>
      <c r="NL7" s="353"/>
      <c r="NM7" s="353"/>
      <c r="NN7" s="353"/>
      <c r="NO7" s="353"/>
      <c r="NP7" s="353"/>
      <c r="NQ7" s="353"/>
      <c r="NR7" s="353"/>
      <c r="NS7" s="353"/>
      <c r="NT7" s="353"/>
      <c r="NU7" s="353"/>
      <c r="NV7" s="353"/>
      <c r="NW7" s="353"/>
      <c r="NX7" s="353"/>
      <c r="NY7" s="353"/>
      <c r="NZ7" s="353"/>
      <c r="OA7" s="353"/>
      <c r="OB7" s="353"/>
      <c r="OC7" s="353"/>
      <c r="OD7" s="353"/>
      <c r="OE7" s="353"/>
      <c r="OF7" s="353"/>
      <c r="OG7" s="353"/>
      <c r="OH7" s="353"/>
      <c r="OI7" s="353"/>
      <c r="OJ7" s="353"/>
      <c r="OK7" s="353"/>
      <c r="OL7" s="353"/>
      <c r="OM7" s="353"/>
      <c r="ON7" s="353"/>
      <c r="OO7" s="353"/>
      <c r="OP7" s="353"/>
      <c r="OQ7" s="353"/>
      <c r="OR7" s="353"/>
      <c r="OS7" s="353"/>
      <c r="OT7" s="353"/>
      <c r="OU7" s="353"/>
      <c r="OV7" s="353"/>
      <c r="OW7" s="353"/>
      <c r="OX7" s="353"/>
      <c r="OY7" s="353"/>
      <c r="OZ7" s="353"/>
      <c r="PA7" s="353"/>
      <c r="PB7" s="353"/>
      <c r="PC7" s="353"/>
      <c r="PD7" s="353"/>
      <c r="PE7" s="353"/>
      <c r="PF7" s="353"/>
      <c r="PG7" s="353"/>
      <c r="PH7" s="353"/>
      <c r="PI7" s="353"/>
      <c r="PJ7" s="353"/>
      <c r="PK7" s="353"/>
      <c r="PL7" s="353"/>
      <c r="PM7" s="353"/>
      <c r="PN7" s="353"/>
      <c r="PO7" s="353"/>
      <c r="PP7" s="353"/>
      <c r="PQ7" s="353"/>
      <c r="PR7" s="353"/>
      <c r="PS7" s="353"/>
      <c r="PT7" s="353"/>
      <c r="PU7" s="353"/>
      <c r="PV7" s="353"/>
      <c r="PW7" s="353"/>
      <c r="PX7" s="353"/>
      <c r="PY7" s="353"/>
      <c r="PZ7" s="353"/>
      <c r="QA7" s="353"/>
      <c r="QB7" s="353"/>
      <c r="QC7" s="353"/>
      <c r="QD7" s="353"/>
      <c r="QE7" s="353"/>
      <c r="QF7" s="353"/>
      <c r="QG7" s="353"/>
      <c r="QH7" s="353"/>
      <c r="QI7" s="353"/>
      <c r="QJ7" s="353"/>
      <c r="QK7" s="353"/>
      <c r="QL7" s="353"/>
      <c r="QM7" s="353"/>
      <c r="QN7" s="353"/>
      <c r="QO7" s="353"/>
      <c r="QP7" s="353"/>
      <c r="QQ7" s="353"/>
      <c r="QR7" s="353"/>
      <c r="QS7" s="353"/>
      <c r="QT7" s="353"/>
      <c r="QU7" s="353"/>
      <c r="QV7" s="353"/>
      <c r="QW7" s="353"/>
      <c r="QX7" s="353"/>
      <c r="QY7" s="353"/>
      <c r="QZ7" s="353"/>
      <c r="RA7" s="353"/>
      <c r="RB7" s="353"/>
      <c r="RC7" s="353"/>
      <c r="RD7" s="353"/>
      <c r="RE7" s="353"/>
      <c r="RF7" s="353"/>
      <c r="RG7" s="353"/>
      <c r="RH7" s="353"/>
      <c r="RI7" s="353"/>
      <c r="RJ7" s="353"/>
      <c r="RK7" s="353"/>
      <c r="RL7" s="353"/>
      <c r="RM7" s="353"/>
      <c r="RN7" s="353"/>
      <c r="RO7" s="353"/>
      <c r="RP7" s="353"/>
      <c r="RQ7" s="353"/>
      <c r="RR7" s="353"/>
      <c r="RS7" s="353"/>
      <c r="RT7" s="353"/>
      <c r="RU7" s="353"/>
      <c r="RV7" s="353"/>
      <c r="RW7" s="353"/>
      <c r="RX7" s="353"/>
      <c r="RY7" s="353"/>
      <c r="RZ7" s="353"/>
      <c r="SA7" s="353"/>
      <c r="SB7" s="353"/>
      <c r="SC7" s="353"/>
      <c r="SD7" s="353"/>
      <c r="SE7" s="353"/>
      <c r="SF7" s="353"/>
      <c r="SG7" s="353"/>
      <c r="SH7" s="353"/>
      <c r="SI7" s="353"/>
      <c r="SJ7" s="353"/>
      <c r="SK7" s="353"/>
      <c r="SL7" s="353"/>
      <c r="SM7" s="353"/>
      <c r="SN7" s="353"/>
      <c r="SO7" s="353"/>
      <c r="SP7" s="353"/>
      <c r="SQ7" s="353"/>
      <c r="SR7" s="353"/>
      <c r="SS7" s="353"/>
      <c r="ST7" s="353"/>
      <c r="SU7" s="353"/>
      <c r="SV7" s="353"/>
      <c r="SW7" s="353"/>
      <c r="SX7" s="353"/>
      <c r="SY7" s="353"/>
      <c r="SZ7" s="353"/>
      <c r="TA7" s="353"/>
      <c r="TB7" s="353"/>
      <c r="TC7" s="353"/>
      <c r="TD7" s="353"/>
      <c r="TE7" s="353"/>
      <c r="TF7" s="353"/>
      <c r="TG7" s="353"/>
      <c r="TH7" s="353"/>
      <c r="TI7" s="353"/>
      <c r="TJ7" s="353"/>
      <c r="TK7" s="353"/>
      <c r="TL7" s="353"/>
      <c r="TM7" s="353"/>
      <c r="TN7" s="353"/>
      <c r="TO7" s="353"/>
      <c r="TP7" s="353"/>
      <c r="TQ7" s="353"/>
      <c r="TR7" s="353"/>
      <c r="TS7" s="353"/>
      <c r="TT7" s="353"/>
      <c r="TU7" s="353"/>
      <c r="TV7" s="353"/>
      <c r="TW7" s="353"/>
      <c r="TX7" s="353"/>
      <c r="TY7" s="353"/>
      <c r="TZ7" s="353"/>
      <c r="UA7" s="353"/>
      <c r="UB7" s="353"/>
      <c r="UC7" s="353"/>
      <c r="UD7" s="353"/>
      <c r="UE7" s="353"/>
      <c r="UF7" s="353"/>
      <c r="UG7" s="353"/>
      <c r="UH7" s="353"/>
      <c r="UI7" s="353"/>
      <c r="UJ7" s="353"/>
      <c r="UK7" s="353"/>
      <c r="UL7" s="353"/>
      <c r="UM7" s="353"/>
      <c r="UN7" s="353"/>
      <c r="UO7" s="353"/>
      <c r="UP7" s="353"/>
      <c r="UQ7" s="353"/>
      <c r="UR7" s="353"/>
      <c r="US7" s="353"/>
      <c r="UT7" s="353"/>
      <c r="UU7" s="353"/>
      <c r="UV7" s="353"/>
      <c r="UW7" s="353"/>
      <c r="UX7" s="353"/>
      <c r="UY7" s="353"/>
      <c r="UZ7" s="353"/>
      <c r="VA7" s="353"/>
      <c r="VB7" s="353"/>
      <c r="VC7" s="353"/>
      <c r="VD7" s="353"/>
      <c r="VE7" s="353"/>
      <c r="VF7" s="353"/>
      <c r="VG7" s="353"/>
      <c r="VH7" s="353"/>
      <c r="VI7" s="353"/>
      <c r="VJ7" s="353"/>
      <c r="VK7" s="353"/>
      <c r="VL7" s="353"/>
      <c r="VM7" s="353"/>
      <c r="VN7" s="353"/>
      <c r="VO7" s="353"/>
      <c r="VP7" s="353"/>
      <c r="VQ7" s="353"/>
      <c r="VR7" s="353"/>
      <c r="VS7" s="353"/>
      <c r="VT7" s="353"/>
      <c r="VU7" s="353"/>
      <c r="VV7" s="353"/>
      <c r="VW7" s="353"/>
      <c r="VX7" s="353"/>
      <c r="VY7" s="353"/>
      <c r="VZ7" s="353"/>
      <c r="WA7" s="353"/>
      <c r="WB7" s="353"/>
      <c r="WC7" s="353"/>
      <c r="WD7" s="353"/>
      <c r="WE7" s="353"/>
      <c r="WF7" s="353"/>
      <c r="WG7" s="353"/>
      <c r="WH7" s="353"/>
      <c r="WI7" s="353"/>
      <c r="WJ7" s="353"/>
      <c r="WK7" s="353"/>
      <c r="WL7" s="353"/>
      <c r="WM7" s="353"/>
      <c r="WN7" s="353"/>
      <c r="WO7" s="353"/>
      <c r="WP7" s="353"/>
      <c r="WQ7" s="353"/>
      <c r="WR7" s="353"/>
      <c r="WS7" s="353"/>
      <c r="WT7" s="353"/>
      <c r="WU7" s="353"/>
      <c r="WV7" s="353"/>
      <c r="WW7" s="353"/>
      <c r="WX7" s="353"/>
      <c r="WY7" s="353"/>
      <c r="WZ7" s="353"/>
      <c r="XA7" s="353"/>
      <c r="XB7" s="353"/>
      <c r="XC7" s="353"/>
      <c r="XD7" s="353"/>
      <c r="XE7" s="353"/>
      <c r="XF7" s="353"/>
      <c r="XG7" s="353"/>
      <c r="XH7" s="353"/>
      <c r="XI7" s="353"/>
      <c r="XJ7" s="353"/>
      <c r="XK7" s="353"/>
      <c r="XL7" s="353"/>
      <c r="XM7" s="353"/>
      <c r="XN7" s="353"/>
      <c r="XO7" s="353"/>
      <c r="XP7" s="353"/>
      <c r="XQ7" s="353"/>
      <c r="XR7" s="353"/>
      <c r="XS7" s="353"/>
      <c r="XT7" s="353"/>
      <c r="XU7" s="353"/>
      <c r="XV7" s="353"/>
      <c r="XW7" s="353"/>
      <c r="XX7" s="353"/>
      <c r="XY7" s="353"/>
      <c r="XZ7" s="353"/>
      <c r="YA7" s="353"/>
      <c r="YB7" s="353"/>
      <c r="YC7" s="353"/>
      <c r="YD7" s="353"/>
      <c r="YE7" s="353"/>
      <c r="YF7" s="353"/>
      <c r="YG7" s="353"/>
      <c r="YH7" s="353"/>
      <c r="YI7" s="353"/>
      <c r="YJ7" s="353"/>
      <c r="YK7" s="353"/>
      <c r="YL7" s="353"/>
      <c r="YM7" s="353"/>
      <c r="YN7" s="353"/>
      <c r="YO7" s="353"/>
      <c r="YP7" s="353"/>
      <c r="YQ7" s="353"/>
      <c r="YR7" s="353"/>
      <c r="YS7" s="353"/>
      <c r="YT7" s="353"/>
      <c r="YU7" s="353"/>
      <c r="YV7" s="353"/>
      <c r="YW7" s="353"/>
      <c r="YX7" s="353"/>
      <c r="YY7" s="353"/>
      <c r="YZ7" s="353"/>
      <c r="ZA7" s="353"/>
      <c r="ZB7" s="353"/>
      <c r="ZC7" s="353"/>
      <c r="ZD7" s="353"/>
      <c r="ZE7" s="353"/>
      <c r="ZF7" s="353"/>
      <c r="ZG7" s="353"/>
      <c r="ZH7" s="353"/>
      <c r="ZI7" s="353"/>
      <c r="ZJ7" s="353"/>
      <c r="ZK7" s="353"/>
      <c r="ZL7" s="353"/>
      <c r="ZM7" s="353"/>
      <c r="ZN7" s="353"/>
      <c r="ZO7" s="353"/>
      <c r="ZP7" s="353"/>
      <c r="ZQ7" s="353"/>
      <c r="ZR7" s="353"/>
      <c r="ZS7" s="353"/>
      <c r="ZT7" s="353"/>
      <c r="ZU7" s="353"/>
      <c r="ZV7" s="353"/>
      <c r="ZW7" s="353"/>
      <c r="ZX7" s="353"/>
      <c r="ZY7" s="353"/>
      <c r="ZZ7" s="353"/>
      <c r="AAA7" s="353"/>
      <c r="AAB7" s="353"/>
      <c r="AAC7" s="353"/>
      <c r="AAD7" s="353"/>
      <c r="AAE7" s="353"/>
      <c r="AAF7" s="353"/>
      <c r="AAG7" s="353"/>
      <c r="AAH7" s="353"/>
      <c r="AAI7" s="353"/>
      <c r="AAJ7" s="353"/>
      <c r="AAK7" s="353"/>
      <c r="AAL7" s="353"/>
      <c r="AAM7" s="353"/>
      <c r="AAN7" s="353"/>
      <c r="AAO7" s="353"/>
      <c r="AAP7" s="353"/>
      <c r="AAQ7" s="353"/>
      <c r="AAR7" s="353"/>
      <c r="AAS7" s="353"/>
      <c r="AAT7" s="353"/>
      <c r="AAU7" s="353"/>
      <c r="AAV7" s="353"/>
      <c r="AAW7" s="353"/>
      <c r="AAX7" s="353"/>
      <c r="AAY7" s="353"/>
      <c r="AAZ7" s="353"/>
      <c r="ABA7" s="353"/>
      <c r="ABB7" s="353"/>
      <c r="ABC7" s="353"/>
      <c r="ABD7" s="353"/>
      <c r="ABE7" s="353"/>
      <c r="ABF7" s="353"/>
      <c r="ABG7" s="353"/>
      <c r="ABH7" s="353"/>
      <c r="ABI7" s="353"/>
      <c r="ABJ7" s="353"/>
      <c r="ABK7" s="353"/>
      <c r="ABL7" s="353"/>
      <c r="ABM7" s="353"/>
      <c r="ABN7" s="353"/>
      <c r="ABO7" s="353"/>
      <c r="ABP7" s="353"/>
      <c r="ABQ7" s="353"/>
      <c r="ABR7" s="353"/>
      <c r="ABS7" s="353"/>
      <c r="ABT7" s="353"/>
      <c r="ABU7" s="353"/>
      <c r="ABV7" s="353"/>
      <c r="ABW7" s="353"/>
      <c r="ABX7" s="353"/>
      <c r="ABY7" s="353"/>
      <c r="ABZ7" s="353"/>
      <c r="ACA7" s="353"/>
      <c r="ACB7" s="353"/>
      <c r="ACC7" s="353"/>
      <c r="ACD7" s="353"/>
      <c r="ACE7" s="353"/>
      <c r="ACF7" s="353"/>
      <c r="ACG7" s="353"/>
      <c r="ACH7" s="353"/>
      <c r="ACI7" s="353"/>
      <c r="ACJ7" s="353"/>
      <c r="ACK7" s="353"/>
      <c r="ACL7" s="353"/>
      <c r="ACM7" s="353"/>
      <c r="ACN7" s="353"/>
      <c r="ACO7" s="353"/>
      <c r="ACP7" s="353"/>
      <c r="ACQ7" s="353"/>
      <c r="ACR7" s="353"/>
      <c r="ACS7" s="353"/>
      <c r="ACT7" s="353"/>
      <c r="ACU7" s="353"/>
      <c r="ACV7" s="353"/>
      <c r="ACW7" s="353"/>
      <c r="ACX7" s="353"/>
      <c r="ACY7" s="353"/>
      <c r="ACZ7" s="353"/>
      <c r="ADA7" s="353"/>
      <c r="ADB7" s="353"/>
      <c r="ADC7" s="353"/>
      <c r="ADD7" s="353"/>
      <c r="ADE7" s="353"/>
      <c r="ADF7" s="353"/>
      <c r="ADG7" s="353"/>
      <c r="ADH7" s="353"/>
      <c r="ADI7" s="353"/>
      <c r="ADJ7" s="353"/>
      <c r="ADK7" s="353"/>
      <c r="ADL7" s="353"/>
      <c r="ADM7" s="353"/>
      <c r="ADN7" s="353"/>
      <c r="ADO7" s="353"/>
      <c r="ADP7" s="353"/>
      <c r="ADQ7" s="353"/>
      <c r="ADR7" s="353"/>
      <c r="ADS7" s="353"/>
      <c r="ADT7" s="353"/>
      <c r="ADU7" s="353"/>
      <c r="ADV7" s="353"/>
      <c r="ADW7" s="353"/>
      <c r="ADX7" s="353"/>
      <c r="ADY7" s="353"/>
      <c r="ADZ7" s="353"/>
      <c r="AEA7" s="353"/>
      <c r="AEB7" s="353"/>
      <c r="AEC7" s="353"/>
      <c r="AED7" s="353"/>
      <c r="AEE7" s="353"/>
      <c r="AEF7" s="353"/>
      <c r="AEG7" s="353"/>
      <c r="AEH7" s="353"/>
      <c r="AEI7" s="353"/>
      <c r="AEJ7" s="353"/>
      <c r="AEK7" s="353"/>
      <c r="AEL7" s="353"/>
      <c r="AEM7" s="353"/>
      <c r="AEN7" s="353"/>
      <c r="AEO7" s="353"/>
      <c r="AEP7" s="353"/>
      <c r="AEQ7" s="353"/>
      <c r="AER7" s="353"/>
      <c r="AES7" s="353"/>
      <c r="AET7" s="353"/>
      <c r="AEU7" s="353"/>
      <c r="AEV7" s="353"/>
      <c r="AEW7" s="353"/>
      <c r="AEX7" s="353"/>
      <c r="AEY7" s="353"/>
      <c r="AEZ7" s="353"/>
      <c r="AFA7" s="353"/>
      <c r="AFB7" s="353"/>
      <c r="AFC7" s="353"/>
      <c r="AFD7" s="353"/>
      <c r="AFE7" s="353"/>
      <c r="AFF7" s="353"/>
      <c r="AFG7" s="353"/>
      <c r="AFH7" s="353"/>
      <c r="AFI7" s="353"/>
      <c r="AFJ7" s="353"/>
      <c r="AFK7" s="353"/>
      <c r="AFL7" s="353"/>
      <c r="AFM7" s="353"/>
      <c r="AFN7" s="353"/>
      <c r="AFO7" s="353"/>
      <c r="AFP7" s="353"/>
      <c r="AFQ7" s="353"/>
      <c r="AFR7" s="353"/>
      <c r="AFS7" s="353"/>
      <c r="AFT7" s="353"/>
      <c r="AFU7" s="353"/>
      <c r="AFV7" s="353"/>
      <c r="AFW7" s="353"/>
      <c r="AFX7" s="353"/>
      <c r="AFY7" s="353"/>
      <c r="AFZ7" s="353"/>
      <c r="AGA7" s="353"/>
      <c r="AGB7" s="353"/>
      <c r="AGC7" s="353"/>
      <c r="AGD7" s="353"/>
      <c r="AGE7" s="353"/>
      <c r="AGF7" s="353"/>
      <c r="AGG7" s="353"/>
      <c r="AGH7" s="353"/>
      <c r="AGI7" s="353"/>
      <c r="AGJ7" s="353"/>
      <c r="AGK7" s="353"/>
      <c r="AGL7" s="353"/>
      <c r="AGM7" s="353"/>
      <c r="AGN7" s="353"/>
      <c r="AGO7" s="353"/>
      <c r="AGP7" s="353"/>
      <c r="AGQ7" s="353"/>
      <c r="AGR7" s="353"/>
      <c r="AGS7" s="353"/>
      <c r="AGT7" s="353"/>
      <c r="AGU7" s="353"/>
      <c r="AGV7" s="353"/>
      <c r="AGW7" s="353"/>
      <c r="AGX7" s="353"/>
      <c r="AGY7" s="353"/>
      <c r="AGZ7" s="353"/>
      <c r="AHA7" s="353"/>
      <c r="AHB7" s="353"/>
      <c r="AHC7" s="353"/>
      <c r="AHD7" s="353"/>
      <c r="AHE7" s="353"/>
      <c r="AHF7" s="353"/>
      <c r="AHG7" s="353"/>
      <c r="AHH7" s="353"/>
      <c r="AHI7" s="353"/>
      <c r="AHJ7" s="353"/>
      <c r="AHK7" s="353"/>
      <c r="AHL7" s="353"/>
      <c r="AHM7" s="353"/>
      <c r="AHN7" s="353"/>
      <c r="AHO7" s="353"/>
      <c r="AHP7" s="353"/>
      <c r="AHQ7" s="353"/>
      <c r="AHR7" s="353"/>
      <c r="AHS7" s="353"/>
      <c r="AHT7" s="353"/>
      <c r="AHU7" s="353"/>
      <c r="AHV7" s="353"/>
      <c r="AHW7" s="353"/>
      <c r="AHX7" s="353"/>
      <c r="AHY7" s="353"/>
      <c r="AHZ7" s="353"/>
      <c r="AIA7" s="353"/>
      <c r="AIB7" s="353"/>
      <c r="AIC7" s="353"/>
      <c r="AID7" s="353"/>
      <c r="AIE7" s="353"/>
      <c r="AIF7" s="353"/>
      <c r="AIG7" s="353"/>
      <c r="AIH7" s="353"/>
      <c r="AII7" s="353"/>
      <c r="AIJ7" s="353"/>
      <c r="AIK7" s="353"/>
      <c r="AIL7" s="353"/>
      <c r="AIM7" s="353"/>
      <c r="AIN7" s="353"/>
      <c r="AIO7" s="353"/>
      <c r="AIP7" s="353"/>
      <c r="AIQ7" s="353"/>
      <c r="AIR7" s="353"/>
      <c r="AIS7" s="353"/>
      <c r="AIT7" s="353"/>
      <c r="AIU7" s="353"/>
      <c r="AIV7" s="353"/>
      <c r="AIW7" s="353"/>
      <c r="AIX7" s="353"/>
      <c r="AIY7" s="353"/>
      <c r="AIZ7" s="353"/>
      <c r="AJA7" s="353"/>
      <c r="AJB7" s="353"/>
      <c r="AJC7" s="353"/>
      <c r="AJD7" s="353"/>
      <c r="AJE7" s="353"/>
      <c r="AJF7" s="353"/>
      <c r="AJG7" s="353"/>
      <c r="AJH7" s="353"/>
      <c r="AJI7" s="353"/>
      <c r="AJJ7" s="353"/>
      <c r="AJK7" s="353"/>
      <c r="AJL7" s="353"/>
      <c r="AJM7" s="353"/>
      <c r="AJN7" s="353"/>
      <c r="AJO7" s="353"/>
      <c r="AJP7" s="353"/>
      <c r="AJQ7" s="353"/>
      <c r="AJR7" s="353"/>
      <c r="AJS7" s="353"/>
      <c r="AJT7" s="353"/>
      <c r="AJU7" s="353"/>
      <c r="AJV7" s="353"/>
      <c r="AJW7" s="353"/>
      <c r="AJX7" s="353"/>
      <c r="AJY7" s="353"/>
      <c r="AJZ7" s="353"/>
      <c r="AKA7" s="353"/>
      <c r="AKB7" s="353"/>
      <c r="AKC7" s="353"/>
      <c r="AKD7" s="353"/>
      <c r="AKE7" s="353"/>
      <c r="AKF7" s="353"/>
      <c r="AKG7" s="353"/>
      <c r="AKH7" s="353"/>
      <c r="AKI7" s="353"/>
      <c r="AKJ7" s="353"/>
      <c r="AKK7" s="353"/>
      <c r="AKL7" s="353"/>
      <c r="AKM7" s="353"/>
      <c r="AKN7" s="353"/>
      <c r="AKO7" s="353"/>
      <c r="AKP7" s="353"/>
      <c r="AKQ7" s="353"/>
      <c r="AKR7" s="353"/>
      <c r="AKS7" s="353"/>
      <c r="AKT7" s="353"/>
      <c r="AKU7" s="353"/>
      <c r="AKV7" s="353"/>
      <c r="AKW7" s="353"/>
      <c r="AKX7" s="353"/>
      <c r="AKY7" s="353"/>
      <c r="AKZ7" s="353"/>
      <c r="ALA7" s="353"/>
      <c r="ALB7" s="353"/>
      <c r="ALC7" s="353"/>
      <c r="ALD7" s="353"/>
      <c r="ALE7" s="353"/>
      <c r="ALF7" s="353"/>
      <c r="ALG7" s="353"/>
      <c r="ALH7" s="353"/>
      <c r="ALI7" s="353"/>
      <c r="ALJ7" s="353"/>
      <c r="ALK7" s="353"/>
      <c r="ALL7" s="353"/>
      <c r="ALM7" s="353"/>
      <c r="ALN7" s="353"/>
      <c r="ALO7" s="353"/>
      <c r="ALP7" s="353"/>
      <c r="ALQ7" s="353"/>
      <c r="ALR7" s="353"/>
      <c r="ALS7" s="353"/>
      <c r="ALT7" s="353"/>
      <c r="ALU7" s="353"/>
      <c r="ALV7" s="353"/>
      <c r="ALW7" s="353"/>
      <c r="ALX7" s="353"/>
      <c r="ALY7" s="353"/>
      <c r="ALZ7" s="353"/>
      <c r="AMA7" s="353"/>
      <c r="AMB7" s="353"/>
      <c r="AMC7" s="353"/>
      <c r="AMD7" s="353"/>
      <c r="AME7" s="353"/>
      <c r="AMF7" s="353"/>
      <c r="AMG7" s="353"/>
      <c r="AMH7" s="353"/>
      <c r="AMI7" s="353"/>
      <c r="AMJ7" s="353"/>
      <c r="AMK7" s="353"/>
      <c r="AML7" s="353"/>
      <c r="AMM7" s="353"/>
      <c r="AMN7" s="353"/>
      <c r="AMO7" s="353"/>
      <c r="AMP7" s="353"/>
    </row>
    <row r="8" spans="1:1030" s="354" customFormat="1" ht="15.75" thickBot="1" x14ac:dyDescent="0.3">
      <c r="C8" s="365">
        <v>12</v>
      </c>
      <c r="D8" s="366"/>
      <c r="E8" s="367" t="s">
        <v>245</v>
      </c>
      <c r="F8" s="12"/>
      <c r="G8" s="12"/>
      <c r="H8" s="368"/>
      <c r="I8" s="368"/>
      <c r="J8" s="368"/>
      <c r="K8" s="368"/>
      <c r="L8" s="368"/>
      <c r="M8" s="368"/>
      <c r="N8" s="369" t="b">
        <f>M7=SUM(M14:M151)</f>
        <v>1</v>
      </c>
      <c r="O8" s="369" t="b">
        <f t="shared" ref="O8:AA8" si="3">O7=SUM(O14:O151)</f>
        <v>1</v>
      </c>
      <c r="P8" s="369" t="b">
        <f t="shared" si="3"/>
        <v>1</v>
      </c>
      <c r="Q8" s="369" t="b">
        <f t="shared" si="3"/>
        <v>1</v>
      </c>
      <c r="R8" s="369" t="b">
        <f t="shared" si="3"/>
        <v>1</v>
      </c>
      <c r="S8" s="369" t="b">
        <f t="shared" si="3"/>
        <v>1</v>
      </c>
      <c r="T8" s="369" t="b">
        <f t="shared" si="3"/>
        <v>1</v>
      </c>
      <c r="U8" s="369" t="b">
        <f t="shared" si="3"/>
        <v>1</v>
      </c>
      <c r="V8" s="369" t="b">
        <f t="shared" si="3"/>
        <v>1</v>
      </c>
      <c r="W8" s="369" t="b">
        <f t="shared" si="3"/>
        <v>1</v>
      </c>
      <c r="X8" s="369" t="b">
        <f t="shared" si="3"/>
        <v>1</v>
      </c>
      <c r="Y8" s="369" t="b">
        <f t="shared" si="3"/>
        <v>1</v>
      </c>
      <c r="Z8" s="369" t="b">
        <f t="shared" si="3"/>
        <v>1</v>
      </c>
      <c r="AA8" s="369" t="b">
        <f t="shared" si="3"/>
        <v>1</v>
      </c>
      <c r="AB8" s="369"/>
      <c r="AC8" s="370"/>
      <c r="AD8" s="370"/>
      <c r="AE8" s="370"/>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3"/>
      <c r="DK8" s="353"/>
      <c r="DL8" s="353"/>
      <c r="DM8" s="353"/>
      <c r="DN8" s="353"/>
      <c r="DO8" s="353"/>
      <c r="DP8" s="353"/>
      <c r="DQ8" s="353"/>
      <c r="DR8" s="353"/>
      <c r="DS8" s="353"/>
      <c r="DT8" s="353"/>
      <c r="DU8" s="353"/>
      <c r="DV8" s="353"/>
      <c r="DW8" s="353"/>
      <c r="DX8" s="353"/>
      <c r="DY8" s="353"/>
      <c r="DZ8" s="353"/>
      <c r="EA8" s="353"/>
      <c r="EB8" s="353"/>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3"/>
      <c r="FP8" s="353"/>
      <c r="FQ8" s="353"/>
      <c r="FR8" s="353"/>
      <c r="FS8" s="353"/>
      <c r="FT8" s="353"/>
      <c r="FU8" s="353"/>
      <c r="FV8" s="353"/>
      <c r="FW8" s="353"/>
      <c r="FX8" s="353"/>
      <c r="FY8" s="353"/>
      <c r="FZ8" s="353"/>
      <c r="GA8" s="353"/>
      <c r="GB8" s="353"/>
      <c r="GC8" s="353"/>
      <c r="GD8" s="353"/>
      <c r="GE8" s="353"/>
      <c r="GF8" s="353"/>
      <c r="GG8" s="353"/>
      <c r="GH8" s="353"/>
      <c r="GI8" s="353"/>
      <c r="GJ8" s="353"/>
      <c r="GK8" s="353"/>
      <c r="GL8" s="353"/>
      <c r="GM8" s="353"/>
      <c r="GN8" s="353"/>
      <c r="GO8" s="353"/>
      <c r="GP8" s="353"/>
      <c r="GQ8" s="353"/>
      <c r="GR8" s="353"/>
      <c r="GS8" s="353"/>
      <c r="GT8" s="353"/>
      <c r="GU8" s="353"/>
      <c r="GV8" s="353"/>
      <c r="GW8" s="353"/>
      <c r="GX8" s="353"/>
      <c r="GY8" s="353"/>
      <c r="GZ8" s="353"/>
      <c r="HA8" s="353"/>
      <c r="HB8" s="353"/>
      <c r="HC8" s="353"/>
      <c r="HD8" s="353"/>
      <c r="HE8" s="353"/>
      <c r="HF8" s="353"/>
      <c r="HG8" s="353"/>
      <c r="HH8" s="353"/>
      <c r="HI8" s="353"/>
      <c r="HJ8" s="353"/>
      <c r="HK8" s="353"/>
      <c r="HL8" s="353"/>
      <c r="HM8" s="353"/>
      <c r="HN8" s="353"/>
      <c r="HO8" s="353"/>
      <c r="HP8" s="353"/>
      <c r="HQ8" s="353"/>
      <c r="HR8" s="353"/>
      <c r="HS8" s="353"/>
      <c r="HT8" s="353"/>
      <c r="HU8" s="353"/>
      <c r="HV8" s="353"/>
      <c r="HW8" s="353"/>
      <c r="HX8" s="353"/>
      <c r="HY8" s="353"/>
      <c r="HZ8" s="353"/>
      <c r="IA8" s="353"/>
      <c r="IB8" s="353"/>
      <c r="IC8" s="353"/>
      <c r="ID8" s="353"/>
      <c r="IE8" s="353"/>
      <c r="IF8" s="353"/>
      <c r="IG8" s="353"/>
      <c r="IH8" s="353"/>
      <c r="II8" s="353"/>
      <c r="IJ8" s="353"/>
      <c r="IK8" s="353"/>
      <c r="IL8" s="353"/>
      <c r="IM8" s="353"/>
      <c r="IN8" s="353"/>
      <c r="IO8" s="353"/>
      <c r="IP8" s="353"/>
      <c r="IQ8" s="353"/>
      <c r="IR8" s="353"/>
      <c r="IS8" s="353"/>
      <c r="IT8" s="353"/>
      <c r="IU8" s="353"/>
      <c r="IV8" s="353"/>
      <c r="IW8" s="353"/>
      <c r="IX8" s="353"/>
      <c r="IY8" s="353"/>
      <c r="IZ8" s="353"/>
      <c r="JA8" s="353"/>
      <c r="JB8" s="353"/>
      <c r="JC8" s="353"/>
      <c r="JD8" s="353"/>
      <c r="JE8" s="353"/>
      <c r="JF8" s="353"/>
      <c r="JG8" s="353"/>
      <c r="JH8" s="353"/>
      <c r="JI8" s="353"/>
      <c r="JJ8" s="353"/>
      <c r="JK8" s="353"/>
      <c r="JL8" s="353"/>
      <c r="JM8" s="353"/>
      <c r="JN8" s="353"/>
      <c r="JO8" s="353"/>
      <c r="JP8" s="353"/>
      <c r="JQ8" s="353"/>
      <c r="JR8" s="353"/>
      <c r="JS8" s="353"/>
      <c r="JT8" s="353"/>
      <c r="JU8" s="353"/>
      <c r="JV8" s="353"/>
      <c r="JW8" s="353"/>
      <c r="JX8" s="353"/>
      <c r="JY8" s="353"/>
      <c r="JZ8" s="353"/>
      <c r="KA8" s="353"/>
      <c r="KB8" s="353"/>
      <c r="KC8" s="353"/>
      <c r="KD8" s="353"/>
      <c r="KE8" s="353"/>
      <c r="KF8" s="353"/>
      <c r="KG8" s="353"/>
      <c r="KH8" s="353"/>
      <c r="KI8" s="353"/>
      <c r="KJ8" s="353"/>
      <c r="KK8" s="353"/>
      <c r="KL8" s="353"/>
      <c r="KM8" s="353"/>
      <c r="KN8" s="353"/>
      <c r="KO8" s="353"/>
      <c r="KP8" s="353"/>
      <c r="KQ8" s="353"/>
      <c r="KR8" s="353"/>
      <c r="KS8" s="353"/>
      <c r="KT8" s="353"/>
      <c r="KU8" s="353"/>
      <c r="KV8" s="353"/>
      <c r="KW8" s="353"/>
      <c r="KX8" s="353"/>
      <c r="KY8" s="353"/>
      <c r="KZ8" s="353"/>
      <c r="LA8" s="353"/>
      <c r="LB8" s="353"/>
      <c r="LC8" s="353"/>
      <c r="LD8" s="353"/>
      <c r="LE8" s="353"/>
      <c r="LF8" s="353"/>
      <c r="LG8" s="353"/>
      <c r="LH8" s="353"/>
      <c r="LI8" s="353"/>
      <c r="LJ8" s="353"/>
      <c r="LK8" s="353"/>
      <c r="LL8" s="353"/>
      <c r="LM8" s="353"/>
      <c r="LN8" s="353"/>
      <c r="LO8" s="353"/>
      <c r="LP8" s="353"/>
      <c r="LQ8" s="353"/>
      <c r="LR8" s="353"/>
      <c r="LS8" s="353"/>
      <c r="LT8" s="353"/>
      <c r="LU8" s="353"/>
      <c r="LV8" s="353"/>
      <c r="LW8" s="353"/>
      <c r="LX8" s="353"/>
      <c r="LY8" s="353"/>
      <c r="LZ8" s="353"/>
      <c r="MA8" s="353"/>
      <c r="MB8" s="353"/>
      <c r="MC8" s="353"/>
      <c r="MD8" s="353"/>
      <c r="ME8" s="353"/>
      <c r="MF8" s="353"/>
      <c r="MG8" s="353"/>
      <c r="MH8" s="353"/>
      <c r="MI8" s="353"/>
      <c r="MJ8" s="353"/>
      <c r="MK8" s="353"/>
      <c r="ML8" s="353"/>
      <c r="MM8" s="353"/>
      <c r="MN8" s="353"/>
      <c r="MO8" s="353"/>
      <c r="MP8" s="353"/>
      <c r="MQ8" s="353"/>
      <c r="MR8" s="353"/>
      <c r="MS8" s="353"/>
      <c r="MT8" s="353"/>
      <c r="MU8" s="353"/>
      <c r="MV8" s="353"/>
      <c r="MW8" s="353"/>
      <c r="MX8" s="353"/>
      <c r="MY8" s="353"/>
      <c r="MZ8" s="353"/>
      <c r="NA8" s="353"/>
      <c r="NB8" s="353"/>
      <c r="NC8" s="353"/>
      <c r="ND8" s="353"/>
      <c r="NE8" s="353"/>
      <c r="NF8" s="353"/>
      <c r="NG8" s="353"/>
      <c r="NH8" s="353"/>
      <c r="NI8" s="353"/>
      <c r="NJ8" s="353"/>
      <c r="NK8" s="353"/>
      <c r="NL8" s="353"/>
      <c r="NM8" s="353"/>
      <c r="NN8" s="353"/>
      <c r="NO8" s="353"/>
      <c r="NP8" s="353"/>
      <c r="NQ8" s="353"/>
      <c r="NR8" s="353"/>
      <c r="NS8" s="353"/>
      <c r="NT8" s="353"/>
      <c r="NU8" s="353"/>
      <c r="NV8" s="353"/>
      <c r="NW8" s="353"/>
      <c r="NX8" s="353"/>
      <c r="NY8" s="353"/>
      <c r="NZ8" s="353"/>
      <c r="OA8" s="353"/>
      <c r="OB8" s="353"/>
      <c r="OC8" s="353"/>
      <c r="OD8" s="353"/>
      <c r="OE8" s="353"/>
      <c r="OF8" s="353"/>
      <c r="OG8" s="353"/>
      <c r="OH8" s="353"/>
      <c r="OI8" s="353"/>
      <c r="OJ8" s="353"/>
      <c r="OK8" s="353"/>
      <c r="OL8" s="353"/>
      <c r="OM8" s="353"/>
      <c r="ON8" s="353"/>
      <c r="OO8" s="353"/>
      <c r="OP8" s="353"/>
      <c r="OQ8" s="353"/>
      <c r="OR8" s="353"/>
      <c r="OS8" s="353"/>
      <c r="OT8" s="353"/>
      <c r="OU8" s="353"/>
      <c r="OV8" s="353"/>
      <c r="OW8" s="353"/>
      <c r="OX8" s="353"/>
      <c r="OY8" s="353"/>
      <c r="OZ8" s="353"/>
      <c r="PA8" s="353"/>
      <c r="PB8" s="353"/>
      <c r="PC8" s="353"/>
      <c r="PD8" s="353"/>
      <c r="PE8" s="353"/>
      <c r="PF8" s="353"/>
      <c r="PG8" s="353"/>
      <c r="PH8" s="353"/>
      <c r="PI8" s="353"/>
      <c r="PJ8" s="353"/>
      <c r="PK8" s="353"/>
      <c r="PL8" s="353"/>
      <c r="PM8" s="353"/>
      <c r="PN8" s="353"/>
      <c r="PO8" s="353"/>
      <c r="PP8" s="353"/>
      <c r="PQ8" s="353"/>
      <c r="PR8" s="353"/>
      <c r="PS8" s="353"/>
      <c r="PT8" s="353"/>
      <c r="PU8" s="353"/>
      <c r="PV8" s="353"/>
      <c r="PW8" s="353"/>
      <c r="PX8" s="353"/>
      <c r="PY8" s="353"/>
      <c r="PZ8" s="353"/>
      <c r="QA8" s="353"/>
      <c r="QB8" s="353"/>
      <c r="QC8" s="353"/>
      <c r="QD8" s="353"/>
      <c r="QE8" s="353"/>
      <c r="QF8" s="353"/>
      <c r="QG8" s="353"/>
      <c r="QH8" s="353"/>
      <c r="QI8" s="353"/>
      <c r="QJ8" s="353"/>
      <c r="QK8" s="353"/>
      <c r="QL8" s="353"/>
      <c r="QM8" s="353"/>
      <c r="QN8" s="353"/>
      <c r="QO8" s="353"/>
      <c r="QP8" s="353"/>
      <c r="QQ8" s="353"/>
      <c r="QR8" s="353"/>
      <c r="QS8" s="353"/>
      <c r="QT8" s="353"/>
      <c r="QU8" s="353"/>
      <c r="QV8" s="353"/>
      <c r="QW8" s="353"/>
      <c r="QX8" s="353"/>
      <c r="QY8" s="353"/>
      <c r="QZ8" s="353"/>
      <c r="RA8" s="353"/>
      <c r="RB8" s="353"/>
      <c r="RC8" s="353"/>
      <c r="RD8" s="353"/>
      <c r="RE8" s="353"/>
      <c r="RF8" s="353"/>
      <c r="RG8" s="353"/>
      <c r="RH8" s="353"/>
      <c r="RI8" s="353"/>
      <c r="RJ8" s="353"/>
      <c r="RK8" s="353"/>
      <c r="RL8" s="353"/>
      <c r="RM8" s="353"/>
      <c r="RN8" s="353"/>
      <c r="RO8" s="353"/>
      <c r="RP8" s="353"/>
      <c r="RQ8" s="353"/>
      <c r="RR8" s="353"/>
      <c r="RS8" s="353"/>
      <c r="RT8" s="353"/>
      <c r="RU8" s="353"/>
      <c r="RV8" s="353"/>
      <c r="RW8" s="353"/>
      <c r="RX8" s="353"/>
      <c r="RY8" s="353"/>
      <c r="RZ8" s="353"/>
      <c r="SA8" s="353"/>
      <c r="SB8" s="353"/>
      <c r="SC8" s="353"/>
      <c r="SD8" s="353"/>
      <c r="SE8" s="353"/>
      <c r="SF8" s="353"/>
      <c r="SG8" s="353"/>
      <c r="SH8" s="353"/>
      <c r="SI8" s="353"/>
      <c r="SJ8" s="353"/>
      <c r="SK8" s="353"/>
      <c r="SL8" s="353"/>
      <c r="SM8" s="353"/>
      <c r="SN8" s="353"/>
      <c r="SO8" s="353"/>
      <c r="SP8" s="353"/>
      <c r="SQ8" s="353"/>
      <c r="SR8" s="353"/>
      <c r="SS8" s="353"/>
      <c r="ST8" s="353"/>
      <c r="SU8" s="353"/>
      <c r="SV8" s="353"/>
      <c r="SW8" s="353"/>
      <c r="SX8" s="353"/>
      <c r="SY8" s="353"/>
      <c r="SZ8" s="353"/>
      <c r="TA8" s="353"/>
      <c r="TB8" s="353"/>
      <c r="TC8" s="353"/>
      <c r="TD8" s="353"/>
      <c r="TE8" s="353"/>
      <c r="TF8" s="353"/>
      <c r="TG8" s="353"/>
      <c r="TH8" s="353"/>
      <c r="TI8" s="353"/>
      <c r="TJ8" s="353"/>
      <c r="TK8" s="353"/>
      <c r="TL8" s="353"/>
      <c r="TM8" s="353"/>
      <c r="TN8" s="353"/>
      <c r="TO8" s="353"/>
      <c r="TP8" s="353"/>
      <c r="TQ8" s="353"/>
      <c r="TR8" s="353"/>
      <c r="TS8" s="353"/>
      <c r="TT8" s="353"/>
      <c r="TU8" s="353"/>
      <c r="TV8" s="353"/>
      <c r="TW8" s="353"/>
      <c r="TX8" s="353"/>
      <c r="TY8" s="353"/>
      <c r="TZ8" s="353"/>
      <c r="UA8" s="353"/>
      <c r="UB8" s="353"/>
      <c r="UC8" s="353"/>
      <c r="UD8" s="353"/>
      <c r="UE8" s="353"/>
      <c r="UF8" s="353"/>
      <c r="UG8" s="353"/>
      <c r="UH8" s="353"/>
      <c r="UI8" s="353"/>
      <c r="UJ8" s="353"/>
      <c r="UK8" s="353"/>
      <c r="UL8" s="353"/>
      <c r="UM8" s="353"/>
      <c r="UN8" s="353"/>
      <c r="UO8" s="353"/>
      <c r="UP8" s="353"/>
      <c r="UQ8" s="353"/>
      <c r="UR8" s="353"/>
      <c r="US8" s="353"/>
      <c r="UT8" s="353"/>
      <c r="UU8" s="353"/>
      <c r="UV8" s="353"/>
      <c r="UW8" s="353"/>
      <c r="UX8" s="353"/>
      <c r="UY8" s="353"/>
      <c r="UZ8" s="353"/>
      <c r="VA8" s="353"/>
      <c r="VB8" s="353"/>
      <c r="VC8" s="353"/>
      <c r="VD8" s="353"/>
      <c r="VE8" s="353"/>
      <c r="VF8" s="353"/>
      <c r="VG8" s="353"/>
      <c r="VH8" s="353"/>
      <c r="VI8" s="353"/>
      <c r="VJ8" s="353"/>
      <c r="VK8" s="353"/>
      <c r="VL8" s="353"/>
      <c r="VM8" s="353"/>
      <c r="VN8" s="353"/>
      <c r="VO8" s="353"/>
      <c r="VP8" s="353"/>
      <c r="VQ8" s="353"/>
      <c r="VR8" s="353"/>
      <c r="VS8" s="353"/>
      <c r="VT8" s="353"/>
      <c r="VU8" s="353"/>
      <c r="VV8" s="353"/>
      <c r="VW8" s="353"/>
      <c r="VX8" s="353"/>
      <c r="VY8" s="353"/>
      <c r="VZ8" s="353"/>
      <c r="WA8" s="353"/>
      <c r="WB8" s="353"/>
      <c r="WC8" s="353"/>
      <c r="WD8" s="353"/>
      <c r="WE8" s="353"/>
      <c r="WF8" s="353"/>
      <c r="WG8" s="353"/>
      <c r="WH8" s="353"/>
      <c r="WI8" s="353"/>
      <c r="WJ8" s="353"/>
      <c r="WK8" s="353"/>
      <c r="WL8" s="353"/>
      <c r="WM8" s="353"/>
      <c r="WN8" s="353"/>
      <c r="WO8" s="353"/>
      <c r="WP8" s="353"/>
      <c r="WQ8" s="353"/>
      <c r="WR8" s="353"/>
      <c r="WS8" s="353"/>
      <c r="WT8" s="353"/>
      <c r="WU8" s="353"/>
      <c r="WV8" s="353"/>
      <c r="WW8" s="353"/>
      <c r="WX8" s="353"/>
      <c r="WY8" s="353"/>
      <c r="WZ8" s="353"/>
      <c r="XA8" s="353"/>
      <c r="XB8" s="353"/>
      <c r="XC8" s="353"/>
      <c r="XD8" s="353"/>
      <c r="XE8" s="353"/>
      <c r="XF8" s="353"/>
      <c r="XG8" s="353"/>
      <c r="XH8" s="353"/>
      <c r="XI8" s="353"/>
      <c r="XJ8" s="353"/>
      <c r="XK8" s="353"/>
      <c r="XL8" s="353"/>
      <c r="XM8" s="353"/>
      <c r="XN8" s="353"/>
      <c r="XO8" s="353"/>
      <c r="XP8" s="353"/>
      <c r="XQ8" s="353"/>
      <c r="XR8" s="353"/>
      <c r="XS8" s="353"/>
      <c r="XT8" s="353"/>
      <c r="XU8" s="353"/>
      <c r="XV8" s="353"/>
      <c r="XW8" s="353"/>
      <c r="XX8" s="353"/>
      <c r="XY8" s="353"/>
      <c r="XZ8" s="353"/>
      <c r="YA8" s="353"/>
      <c r="YB8" s="353"/>
      <c r="YC8" s="353"/>
      <c r="YD8" s="353"/>
      <c r="YE8" s="353"/>
      <c r="YF8" s="353"/>
      <c r="YG8" s="353"/>
      <c r="YH8" s="353"/>
      <c r="YI8" s="353"/>
      <c r="YJ8" s="353"/>
      <c r="YK8" s="353"/>
      <c r="YL8" s="353"/>
      <c r="YM8" s="353"/>
      <c r="YN8" s="353"/>
      <c r="YO8" s="353"/>
      <c r="YP8" s="353"/>
      <c r="YQ8" s="353"/>
      <c r="YR8" s="353"/>
      <c r="YS8" s="353"/>
      <c r="YT8" s="353"/>
      <c r="YU8" s="353"/>
      <c r="YV8" s="353"/>
      <c r="YW8" s="353"/>
      <c r="YX8" s="353"/>
      <c r="YY8" s="353"/>
      <c r="YZ8" s="353"/>
      <c r="ZA8" s="353"/>
      <c r="ZB8" s="353"/>
      <c r="ZC8" s="353"/>
      <c r="ZD8" s="353"/>
      <c r="ZE8" s="353"/>
      <c r="ZF8" s="353"/>
      <c r="ZG8" s="353"/>
      <c r="ZH8" s="353"/>
      <c r="ZI8" s="353"/>
      <c r="ZJ8" s="353"/>
      <c r="ZK8" s="353"/>
      <c r="ZL8" s="353"/>
      <c r="ZM8" s="353"/>
      <c r="ZN8" s="353"/>
      <c r="ZO8" s="353"/>
      <c r="ZP8" s="353"/>
      <c r="ZQ8" s="353"/>
      <c r="ZR8" s="353"/>
      <c r="ZS8" s="353"/>
      <c r="ZT8" s="353"/>
      <c r="ZU8" s="353"/>
      <c r="ZV8" s="353"/>
      <c r="ZW8" s="353"/>
      <c r="ZX8" s="353"/>
      <c r="ZY8" s="353"/>
      <c r="ZZ8" s="353"/>
      <c r="AAA8" s="353"/>
      <c r="AAB8" s="353"/>
      <c r="AAC8" s="353"/>
      <c r="AAD8" s="353"/>
      <c r="AAE8" s="353"/>
      <c r="AAF8" s="353"/>
      <c r="AAG8" s="353"/>
      <c r="AAH8" s="353"/>
      <c r="AAI8" s="353"/>
      <c r="AAJ8" s="353"/>
      <c r="AAK8" s="353"/>
      <c r="AAL8" s="353"/>
      <c r="AAM8" s="353"/>
      <c r="AAN8" s="353"/>
      <c r="AAO8" s="353"/>
      <c r="AAP8" s="353"/>
      <c r="AAQ8" s="353"/>
      <c r="AAR8" s="353"/>
      <c r="AAS8" s="353"/>
      <c r="AAT8" s="353"/>
      <c r="AAU8" s="353"/>
      <c r="AAV8" s="353"/>
      <c r="AAW8" s="353"/>
      <c r="AAX8" s="353"/>
      <c r="AAY8" s="353"/>
      <c r="AAZ8" s="353"/>
      <c r="ABA8" s="353"/>
      <c r="ABB8" s="353"/>
      <c r="ABC8" s="353"/>
      <c r="ABD8" s="353"/>
      <c r="ABE8" s="353"/>
      <c r="ABF8" s="353"/>
      <c r="ABG8" s="353"/>
      <c r="ABH8" s="353"/>
      <c r="ABI8" s="353"/>
      <c r="ABJ8" s="353"/>
      <c r="ABK8" s="353"/>
      <c r="ABL8" s="353"/>
      <c r="ABM8" s="353"/>
      <c r="ABN8" s="353"/>
      <c r="ABO8" s="353"/>
      <c r="ABP8" s="353"/>
      <c r="ABQ8" s="353"/>
      <c r="ABR8" s="353"/>
      <c r="ABS8" s="353"/>
      <c r="ABT8" s="353"/>
      <c r="ABU8" s="353"/>
      <c r="ABV8" s="353"/>
      <c r="ABW8" s="353"/>
      <c r="ABX8" s="353"/>
      <c r="ABY8" s="353"/>
      <c r="ABZ8" s="353"/>
      <c r="ACA8" s="353"/>
      <c r="ACB8" s="353"/>
      <c r="ACC8" s="353"/>
      <c r="ACD8" s="353"/>
      <c r="ACE8" s="353"/>
      <c r="ACF8" s="353"/>
      <c r="ACG8" s="353"/>
      <c r="ACH8" s="353"/>
      <c r="ACI8" s="353"/>
      <c r="ACJ8" s="353"/>
      <c r="ACK8" s="353"/>
      <c r="ACL8" s="353"/>
      <c r="ACM8" s="353"/>
      <c r="ACN8" s="353"/>
      <c r="ACO8" s="353"/>
      <c r="ACP8" s="353"/>
      <c r="ACQ8" s="353"/>
      <c r="ACR8" s="353"/>
      <c r="ACS8" s="353"/>
      <c r="ACT8" s="353"/>
      <c r="ACU8" s="353"/>
      <c r="ACV8" s="353"/>
      <c r="ACW8" s="353"/>
      <c r="ACX8" s="353"/>
      <c r="ACY8" s="353"/>
      <c r="ACZ8" s="353"/>
      <c r="ADA8" s="353"/>
      <c r="ADB8" s="353"/>
      <c r="ADC8" s="353"/>
      <c r="ADD8" s="353"/>
      <c r="ADE8" s="353"/>
      <c r="ADF8" s="353"/>
      <c r="ADG8" s="353"/>
      <c r="ADH8" s="353"/>
      <c r="ADI8" s="353"/>
      <c r="ADJ8" s="353"/>
      <c r="ADK8" s="353"/>
      <c r="ADL8" s="353"/>
      <c r="ADM8" s="353"/>
      <c r="ADN8" s="353"/>
      <c r="ADO8" s="353"/>
      <c r="ADP8" s="353"/>
      <c r="ADQ8" s="353"/>
      <c r="ADR8" s="353"/>
      <c r="ADS8" s="353"/>
      <c r="ADT8" s="353"/>
      <c r="ADU8" s="353"/>
      <c r="ADV8" s="353"/>
      <c r="ADW8" s="353"/>
      <c r="ADX8" s="353"/>
      <c r="ADY8" s="353"/>
      <c r="ADZ8" s="353"/>
      <c r="AEA8" s="353"/>
      <c r="AEB8" s="353"/>
      <c r="AEC8" s="353"/>
      <c r="AED8" s="353"/>
      <c r="AEE8" s="353"/>
      <c r="AEF8" s="353"/>
      <c r="AEG8" s="353"/>
      <c r="AEH8" s="353"/>
      <c r="AEI8" s="353"/>
      <c r="AEJ8" s="353"/>
      <c r="AEK8" s="353"/>
      <c r="AEL8" s="353"/>
      <c r="AEM8" s="353"/>
      <c r="AEN8" s="353"/>
      <c r="AEO8" s="353"/>
      <c r="AEP8" s="353"/>
      <c r="AEQ8" s="353"/>
      <c r="AER8" s="353"/>
      <c r="AES8" s="353"/>
      <c r="AET8" s="353"/>
      <c r="AEU8" s="353"/>
      <c r="AEV8" s="353"/>
      <c r="AEW8" s="353"/>
      <c r="AEX8" s="353"/>
      <c r="AEY8" s="353"/>
      <c r="AEZ8" s="353"/>
      <c r="AFA8" s="353"/>
      <c r="AFB8" s="353"/>
      <c r="AFC8" s="353"/>
      <c r="AFD8" s="353"/>
      <c r="AFE8" s="353"/>
      <c r="AFF8" s="353"/>
      <c r="AFG8" s="353"/>
      <c r="AFH8" s="353"/>
      <c r="AFI8" s="353"/>
      <c r="AFJ8" s="353"/>
      <c r="AFK8" s="353"/>
      <c r="AFL8" s="353"/>
      <c r="AFM8" s="353"/>
      <c r="AFN8" s="353"/>
      <c r="AFO8" s="353"/>
      <c r="AFP8" s="353"/>
      <c r="AFQ8" s="353"/>
      <c r="AFR8" s="353"/>
      <c r="AFS8" s="353"/>
      <c r="AFT8" s="353"/>
      <c r="AFU8" s="353"/>
      <c r="AFV8" s="353"/>
      <c r="AFW8" s="353"/>
      <c r="AFX8" s="353"/>
      <c r="AFY8" s="353"/>
      <c r="AFZ8" s="353"/>
      <c r="AGA8" s="353"/>
      <c r="AGB8" s="353"/>
      <c r="AGC8" s="353"/>
      <c r="AGD8" s="353"/>
      <c r="AGE8" s="353"/>
      <c r="AGF8" s="353"/>
      <c r="AGG8" s="353"/>
      <c r="AGH8" s="353"/>
      <c r="AGI8" s="353"/>
      <c r="AGJ8" s="353"/>
      <c r="AGK8" s="353"/>
      <c r="AGL8" s="353"/>
      <c r="AGM8" s="353"/>
      <c r="AGN8" s="353"/>
      <c r="AGO8" s="353"/>
      <c r="AGP8" s="353"/>
      <c r="AGQ8" s="353"/>
      <c r="AGR8" s="353"/>
      <c r="AGS8" s="353"/>
      <c r="AGT8" s="353"/>
      <c r="AGU8" s="353"/>
      <c r="AGV8" s="353"/>
      <c r="AGW8" s="353"/>
      <c r="AGX8" s="353"/>
      <c r="AGY8" s="353"/>
      <c r="AGZ8" s="353"/>
      <c r="AHA8" s="353"/>
      <c r="AHB8" s="353"/>
      <c r="AHC8" s="353"/>
      <c r="AHD8" s="353"/>
      <c r="AHE8" s="353"/>
      <c r="AHF8" s="353"/>
      <c r="AHG8" s="353"/>
      <c r="AHH8" s="353"/>
      <c r="AHI8" s="353"/>
      <c r="AHJ8" s="353"/>
      <c r="AHK8" s="353"/>
      <c r="AHL8" s="353"/>
      <c r="AHM8" s="353"/>
      <c r="AHN8" s="353"/>
      <c r="AHO8" s="353"/>
      <c r="AHP8" s="353"/>
      <c r="AHQ8" s="353"/>
      <c r="AHR8" s="353"/>
      <c r="AHS8" s="353"/>
      <c r="AHT8" s="353"/>
      <c r="AHU8" s="353"/>
      <c r="AHV8" s="353"/>
      <c r="AHW8" s="353"/>
      <c r="AHX8" s="353"/>
      <c r="AHY8" s="353"/>
      <c r="AHZ8" s="353"/>
      <c r="AIA8" s="353"/>
      <c r="AIB8" s="353"/>
      <c r="AIC8" s="353"/>
      <c r="AID8" s="353"/>
      <c r="AIE8" s="353"/>
      <c r="AIF8" s="353"/>
      <c r="AIG8" s="353"/>
      <c r="AIH8" s="353"/>
      <c r="AII8" s="353"/>
      <c r="AIJ8" s="353"/>
      <c r="AIK8" s="353"/>
      <c r="AIL8" s="353"/>
      <c r="AIM8" s="353"/>
      <c r="AIN8" s="353"/>
      <c r="AIO8" s="353"/>
      <c r="AIP8" s="353"/>
      <c r="AIQ8" s="353"/>
      <c r="AIR8" s="353"/>
      <c r="AIS8" s="353"/>
      <c r="AIT8" s="353"/>
      <c r="AIU8" s="353"/>
      <c r="AIV8" s="353"/>
      <c r="AIW8" s="353"/>
      <c r="AIX8" s="353"/>
      <c r="AIY8" s="353"/>
      <c r="AIZ8" s="353"/>
      <c r="AJA8" s="353"/>
      <c r="AJB8" s="353"/>
      <c r="AJC8" s="353"/>
      <c r="AJD8" s="353"/>
      <c r="AJE8" s="353"/>
      <c r="AJF8" s="353"/>
      <c r="AJG8" s="353"/>
      <c r="AJH8" s="353"/>
      <c r="AJI8" s="353"/>
      <c r="AJJ8" s="353"/>
      <c r="AJK8" s="353"/>
      <c r="AJL8" s="353"/>
      <c r="AJM8" s="353"/>
      <c r="AJN8" s="353"/>
      <c r="AJO8" s="353"/>
      <c r="AJP8" s="353"/>
      <c r="AJQ8" s="353"/>
      <c r="AJR8" s="353"/>
      <c r="AJS8" s="353"/>
      <c r="AJT8" s="353"/>
      <c r="AJU8" s="353"/>
      <c r="AJV8" s="353"/>
      <c r="AJW8" s="353"/>
      <c r="AJX8" s="353"/>
      <c r="AJY8" s="353"/>
      <c r="AJZ8" s="353"/>
      <c r="AKA8" s="353"/>
      <c r="AKB8" s="353"/>
      <c r="AKC8" s="353"/>
      <c r="AKD8" s="353"/>
      <c r="AKE8" s="353"/>
      <c r="AKF8" s="353"/>
      <c r="AKG8" s="353"/>
      <c r="AKH8" s="353"/>
      <c r="AKI8" s="353"/>
      <c r="AKJ8" s="353"/>
      <c r="AKK8" s="353"/>
      <c r="AKL8" s="353"/>
      <c r="AKM8" s="353"/>
      <c r="AKN8" s="353"/>
      <c r="AKO8" s="353"/>
      <c r="AKP8" s="353"/>
      <c r="AKQ8" s="353"/>
      <c r="AKR8" s="353"/>
      <c r="AKS8" s="353"/>
      <c r="AKT8" s="353"/>
      <c r="AKU8" s="353"/>
      <c r="AKV8" s="353"/>
      <c r="AKW8" s="353"/>
      <c r="AKX8" s="353"/>
      <c r="AKY8" s="353"/>
      <c r="AKZ8" s="353"/>
      <c r="ALA8" s="353"/>
      <c r="ALB8" s="353"/>
      <c r="ALC8" s="353"/>
      <c r="ALD8" s="353"/>
      <c r="ALE8" s="353"/>
      <c r="ALF8" s="353"/>
      <c r="ALG8" s="353"/>
      <c r="ALH8" s="353"/>
      <c r="ALI8" s="353"/>
      <c r="ALJ8" s="353"/>
      <c r="ALK8" s="353"/>
      <c r="ALL8" s="353"/>
      <c r="ALM8" s="353"/>
      <c r="ALN8" s="353"/>
      <c r="ALO8" s="353"/>
      <c r="ALP8" s="353"/>
      <c r="ALQ8" s="353"/>
      <c r="ALR8" s="353"/>
      <c r="ALS8" s="353"/>
      <c r="ALT8" s="353"/>
      <c r="ALU8" s="353"/>
      <c r="ALV8" s="353"/>
      <c r="ALW8" s="353"/>
      <c r="ALX8" s="353"/>
      <c r="ALY8" s="353"/>
      <c r="ALZ8" s="353"/>
      <c r="AMA8" s="353"/>
      <c r="AMB8" s="353"/>
      <c r="AMC8" s="353"/>
      <c r="AMD8" s="353"/>
      <c r="AME8" s="353"/>
      <c r="AMF8" s="353"/>
      <c r="AMG8" s="353"/>
      <c r="AMH8" s="353"/>
      <c r="AMI8" s="353"/>
      <c r="AMJ8" s="353"/>
      <c r="AMK8" s="353"/>
      <c r="AML8" s="353"/>
      <c r="AMM8" s="353"/>
      <c r="AMN8" s="353"/>
      <c r="AMO8" s="353"/>
      <c r="AMP8" s="353"/>
    </row>
    <row r="9" spans="1:1030" s="354" customFormat="1" ht="7.5" customHeight="1" thickBot="1" x14ac:dyDescent="0.25">
      <c r="A9" s="371"/>
      <c r="B9" s="371"/>
      <c r="C9" s="372"/>
      <c r="D9" s="372"/>
      <c r="E9" s="373"/>
      <c r="F9" s="374"/>
      <c r="G9" s="375"/>
      <c r="H9" s="376"/>
      <c r="I9" s="376"/>
      <c r="J9" s="376"/>
      <c r="K9" s="376"/>
      <c r="L9" s="376"/>
      <c r="M9" s="376"/>
      <c r="N9" s="377"/>
      <c r="O9" s="377"/>
      <c r="P9" s="377"/>
      <c r="Q9" s="377"/>
      <c r="R9" s="377"/>
      <c r="S9" s="377"/>
      <c r="T9" s="377"/>
      <c r="U9" s="377"/>
      <c r="V9" s="377"/>
      <c r="W9" s="377"/>
      <c r="X9" s="377"/>
      <c r="Y9" s="377"/>
      <c r="Z9" s="377"/>
      <c r="AA9" s="377"/>
      <c r="AB9" s="377"/>
      <c r="AC9" s="378"/>
      <c r="AD9" s="378"/>
      <c r="AE9" s="378"/>
      <c r="AF9" s="378"/>
      <c r="AG9" s="378"/>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3"/>
      <c r="FP9" s="353"/>
      <c r="FQ9" s="353"/>
      <c r="FR9" s="353"/>
      <c r="FS9" s="353"/>
      <c r="FT9" s="353"/>
      <c r="FU9" s="353"/>
      <c r="FV9" s="353"/>
      <c r="FW9" s="353"/>
      <c r="FX9" s="353"/>
      <c r="FY9" s="353"/>
      <c r="FZ9" s="353"/>
      <c r="GA9" s="353"/>
      <c r="GB9" s="353"/>
      <c r="GC9" s="353"/>
      <c r="GD9" s="353"/>
      <c r="GE9" s="353"/>
      <c r="GF9" s="353"/>
      <c r="GG9" s="353"/>
      <c r="GH9" s="353"/>
      <c r="GI9" s="353"/>
      <c r="GJ9" s="353"/>
      <c r="GK9" s="353"/>
      <c r="GL9" s="353"/>
      <c r="GM9" s="353"/>
      <c r="GN9" s="353"/>
      <c r="GO9" s="353"/>
      <c r="GP9" s="353"/>
      <c r="GQ9" s="353"/>
      <c r="GR9" s="353"/>
      <c r="GS9" s="353"/>
      <c r="GT9" s="353"/>
      <c r="GU9" s="353"/>
      <c r="GV9" s="353"/>
      <c r="GW9" s="353"/>
      <c r="GX9" s="353"/>
      <c r="GY9" s="353"/>
      <c r="GZ9" s="353"/>
      <c r="HA9" s="353"/>
      <c r="HB9" s="353"/>
      <c r="HC9" s="353"/>
      <c r="HD9" s="353"/>
      <c r="HE9" s="353"/>
      <c r="HF9" s="353"/>
      <c r="HG9" s="353"/>
      <c r="HH9" s="353"/>
      <c r="HI9" s="353"/>
      <c r="HJ9" s="353"/>
      <c r="HK9" s="353"/>
      <c r="HL9" s="353"/>
      <c r="HM9" s="353"/>
      <c r="HN9" s="353"/>
      <c r="HO9" s="353"/>
      <c r="HP9" s="353"/>
      <c r="HQ9" s="353"/>
      <c r="HR9" s="353"/>
      <c r="HS9" s="353"/>
      <c r="HT9" s="353"/>
      <c r="HU9" s="353"/>
      <c r="HV9" s="353"/>
      <c r="HW9" s="353"/>
      <c r="HX9" s="353"/>
      <c r="HY9" s="353"/>
      <c r="HZ9" s="353"/>
      <c r="IA9" s="353"/>
      <c r="IB9" s="353"/>
      <c r="IC9" s="353"/>
      <c r="ID9" s="353"/>
      <c r="IE9" s="353"/>
      <c r="IF9" s="353"/>
      <c r="IG9" s="353"/>
      <c r="IH9" s="353"/>
      <c r="II9" s="353"/>
      <c r="IJ9" s="353"/>
      <c r="IK9" s="353"/>
      <c r="IL9" s="353"/>
      <c r="IM9" s="353"/>
      <c r="IN9" s="353"/>
      <c r="IO9" s="353"/>
      <c r="IP9" s="353"/>
      <c r="IQ9" s="353"/>
      <c r="IR9" s="353"/>
      <c r="IS9" s="353"/>
      <c r="IT9" s="353"/>
      <c r="IU9" s="353"/>
      <c r="IV9" s="353"/>
      <c r="IW9" s="353"/>
      <c r="IX9" s="353"/>
      <c r="IY9" s="353"/>
      <c r="IZ9" s="353"/>
      <c r="JA9" s="353"/>
      <c r="JB9" s="353"/>
      <c r="JC9" s="353"/>
      <c r="JD9" s="353"/>
      <c r="JE9" s="353"/>
      <c r="JF9" s="353"/>
      <c r="JG9" s="353"/>
      <c r="JH9" s="353"/>
      <c r="JI9" s="353"/>
      <c r="JJ9" s="353"/>
      <c r="JK9" s="353"/>
      <c r="JL9" s="353"/>
      <c r="JM9" s="353"/>
      <c r="JN9" s="353"/>
      <c r="JO9" s="353"/>
      <c r="JP9" s="353"/>
      <c r="JQ9" s="353"/>
      <c r="JR9" s="353"/>
      <c r="JS9" s="353"/>
      <c r="JT9" s="353"/>
      <c r="JU9" s="353"/>
      <c r="JV9" s="353"/>
      <c r="JW9" s="353"/>
      <c r="JX9" s="353"/>
      <c r="JY9" s="353"/>
      <c r="JZ9" s="353"/>
      <c r="KA9" s="353"/>
      <c r="KB9" s="353"/>
      <c r="KC9" s="353"/>
      <c r="KD9" s="353"/>
      <c r="KE9" s="353"/>
      <c r="KF9" s="353"/>
      <c r="KG9" s="353"/>
      <c r="KH9" s="353"/>
      <c r="KI9" s="353"/>
      <c r="KJ9" s="353"/>
      <c r="KK9" s="353"/>
      <c r="KL9" s="353"/>
      <c r="KM9" s="353"/>
      <c r="KN9" s="353"/>
      <c r="KO9" s="353"/>
      <c r="KP9" s="353"/>
      <c r="KQ9" s="353"/>
      <c r="KR9" s="353"/>
      <c r="KS9" s="353"/>
      <c r="KT9" s="353"/>
      <c r="KU9" s="353"/>
      <c r="KV9" s="353"/>
      <c r="KW9" s="353"/>
      <c r="KX9" s="353"/>
      <c r="KY9" s="353"/>
      <c r="KZ9" s="353"/>
      <c r="LA9" s="353"/>
      <c r="LB9" s="353"/>
      <c r="LC9" s="353"/>
      <c r="LD9" s="353"/>
      <c r="LE9" s="353"/>
      <c r="LF9" s="353"/>
      <c r="LG9" s="353"/>
      <c r="LH9" s="353"/>
      <c r="LI9" s="353"/>
      <c r="LJ9" s="353"/>
      <c r="LK9" s="353"/>
      <c r="LL9" s="353"/>
      <c r="LM9" s="353"/>
      <c r="LN9" s="353"/>
      <c r="LO9" s="353"/>
      <c r="LP9" s="353"/>
      <c r="LQ9" s="353"/>
      <c r="LR9" s="353"/>
      <c r="LS9" s="353"/>
      <c r="LT9" s="353"/>
      <c r="LU9" s="353"/>
      <c r="LV9" s="353"/>
      <c r="LW9" s="353"/>
      <c r="LX9" s="353"/>
      <c r="LY9" s="353"/>
      <c r="LZ9" s="353"/>
      <c r="MA9" s="353"/>
      <c r="MB9" s="353"/>
      <c r="MC9" s="353"/>
      <c r="MD9" s="353"/>
      <c r="ME9" s="353"/>
      <c r="MF9" s="353"/>
      <c r="MG9" s="353"/>
      <c r="MH9" s="353"/>
      <c r="MI9" s="353"/>
      <c r="MJ9" s="353"/>
      <c r="MK9" s="353"/>
      <c r="ML9" s="353"/>
      <c r="MM9" s="353"/>
      <c r="MN9" s="353"/>
      <c r="MO9" s="353"/>
      <c r="MP9" s="353"/>
      <c r="MQ9" s="353"/>
      <c r="MR9" s="353"/>
      <c r="MS9" s="353"/>
      <c r="MT9" s="353"/>
      <c r="MU9" s="353"/>
      <c r="MV9" s="353"/>
      <c r="MW9" s="353"/>
      <c r="MX9" s="353"/>
      <c r="MY9" s="353"/>
      <c r="MZ9" s="353"/>
      <c r="NA9" s="353"/>
      <c r="NB9" s="353"/>
      <c r="NC9" s="353"/>
      <c r="ND9" s="353"/>
      <c r="NE9" s="353"/>
      <c r="NF9" s="353"/>
      <c r="NG9" s="353"/>
      <c r="NH9" s="353"/>
      <c r="NI9" s="353"/>
      <c r="NJ9" s="353"/>
      <c r="NK9" s="353"/>
      <c r="NL9" s="353"/>
      <c r="NM9" s="353"/>
      <c r="NN9" s="353"/>
      <c r="NO9" s="353"/>
      <c r="NP9" s="353"/>
      <c r="NQ9" s="353"/>
      <c r="NR9" s="353"/>
      <c r="NS9" s="353"/>
      <c r="NT9" s="353"/>
      <c r="NU9" s="353"/>
      <c r="NV9" s="353"/>
      <c r="NW9" s="353"/>
      <c r="NX9" s="353"/>
      <c r="NY9" s="353"/>
      <c r="NZ9" s="353"/>
      <c r="OA9" s="353"/>
      <c r="OB9" s="353"/>
      <c r="OC9" s="353"/>
      <c r="OD9" s="353"/>
      <c r="OE9" s="353"/>
      <c r="OF9" s="353"/>
      <c r="OG9" s="353"/>
      <c r="OH9" s="353"/>
      <c r="OI9" s="353"/>
      <c r="OJ9" s="353"/>
      <c r="OK9" s="353"/>
      <c r="OL9" s="353"/>
      <c r="OM9" s="353"/>
      <c r="ON9" s="353"/>
      <c r="OO9" s="353"/>
      <c r="OP9" s="353"/>
      <c r="OQ9" s="353"/>
      <c r="OR9" s="353"/>
      <c r="OS9" s="353"/>
      <c r="OT9" s="353"/>
      <c r="OU9" s="353"/>
      <c r="OV9" s="353"/>
      <c r="OW9" s="353"/>
      <c r="OX9" s="353"/>
      <c r="OY9" s="353"/>
      <c r="OZ9" s="353"/>
      <c r="PA9" s="353"/>
      <c r="PB9" s="353"/>
      <c r="PC9" s="353"/>
      <c r="PD9" s="353"/>
      <c r="PE9" s="353"/>
      <c r="PF9" s="353"/>
      <c r="PG9" s="353"/>
      <c r="PH9" s="353"/>
      <c r="PI9" s="353"/>
      <c r="PJ9" s="353"/>
      <c r="PK9" s="353"/>
      <c r="PL9" s="353"/>
      <c r="PM9" s="353"/>
      <c r="PN9" s="353"/>
      <c r="PO9" s="353"/>
      <c r="PP9" s="353"/>
      <c r="PQ9" s="353"/>
      <c r="PR9" s="353"/>
      <c r="PS9" s="353"/>
      <c r="PT9" s="353"/>
      <c r="PU9" s="353"/>
      <c r="PV9" s="353"/>
      <c r="PW9" s="353"/>
      <c r="PX9" s="353"/>
      <c r="PY9" s="353"/>
      <c r="PZ9" s="353"/>
      <c r="QA9" s="353"/>
      <c r="QB9" s="353"/>
      <c r="QC9" s="353"/>
      <c r="QD9" s="353"/>
      <c r="QE9" s="353"/>
      <c r="QF9" s="353"/>
      <c r="QG9" s="353"/>
      <c r="QH9" s="353"/>
      <c r="QI9" s="353"/>
      <c r="QJ9" s="353"/>
      <c r="QK9" s="353"/>
      <c r="QL9" s="353"/>
      <c r="QM9" s="353"/>
      <c r="QN9" s="353"/>
      <c r="QO9" s="353"/>
      <c r="QP9" s="353"/>
      <c r="QQ9" s="353"/>
      <c r="QR9" s="353"/>
      <c r="QS9" s="353"/>
      <c r="QT9" s="353"/>
      <c r="QU9" s="353"/>
      <c r="QV9" s="353"/>
      <c r="QW9" s="353"/>
      <c r="QX9" s="353"/>
      <c r="QY9" s="353"/>
      <c r="QZ9" s="353"/>
      <c r="RA9" s="353"/>
      <c r="RB9" s="353"/>
      <c r="RC9" s="353"/>
      <c r="RD9" s="353"/>
      <c r="RE9" s="353"/>
      <c r="RF9" s="353"/>
      <c r="RG9" s="353"/>
      <c r="RH9" s="353"/>
      <c r="RI9" s="353"/>
      <c r="RJ9" s="353"/>
      <c r="RK9" s="353"/>
      <c r="RL9" s="353"/>
      <c r="RM9" s="353"/>
      <c r="RN9" s="353"/>
      <c r="RO9" s="353"/>
      <c r="RP9" s="353"/>
      <c r="RQ9" s="353"/>
      <c r="RR9" s="353"/>
      <c r="RS9" s="353"/>
      <c r="RT9" s="353"/>
      <c r="RU9" s="353"/>
      <c r="RV9" s="353"/>
      <c r="RW9" s="353"/>
      <c r="RX9" s="353"/>
      <c r="RY9" s="353"/>
      <c r="RZ9" s="353"/>
      <c r="SA9" s="353"/>
      <c r="SB9" s="353"/>
      <c r="SC9" s="353"/>
      <c r="SD9" s="353"/>
      <c r="SE9" s="353"/>
      <c r="SF9" s="353"/>
      <c r="SG9" s="353"/>
      <c r="SH9" s="353"/>
      <c r="SI9" s="353"/>
      <c r="SJ9" s="353"/>
      <c r="SK9" s="353"/>
      <c r="SL9" s="353"/>
      <c r="SM9" s="353"/>
      <c r="SN9" s="353"/>
      <c r="SO9" s="353"/>
      <c r="SP9" s="353"/>
      <c r="SQ9" s="353"/>
      <c r="SR9" s="353"/>
      <c r="SS9" s="353"/>
      <c r="ST9" s="353"/>
      <c r="SU9" s="353"/>
      <c r="SV9" s="353"/>
      <c r="SW9" s="353"/>
      <c r="SX9" s="353"/>
      <c r="SY9" s="353"/>
      <c r="SZ9" s="353"/>
      <c r="TA9" s="353"/>
      <c r="TB9" s="353"/>
      <c r="TC9" s="353"/>
      <c r="TD9" s="353"/>
      <c r="TE9" s="353"/>
      <c r="TF9" s="353"/>
      <c r="TG9" s="353"/>
      <c r="TH9" s="353"/>
      <c r="TI9" s="353"/>
      <c r="TJ9" s="353"/>
      <c r="TK9" s="353"/>
      <c r="TL9" s="353"/>
      <c r="TM9" s="353"/>
      <c r="TN9" s="353"/>
      <c r="TO9" s="353"/>
      <c r="TP9" s="353"/>
      <c r="TQ9" s="353"/>
      <c r="TR9" s="353"/>
      <c r="TS9" s="353"/>
      <c r="TT9" s="353"/>
      <c r="TU9" s="353"/>
      <c r="TV9" s="353"/>
      <c r="TW9" s="353"/>
      <c r="TX9" s="353"/>
      <c r="TY9" s="353"/>
      <c r="TZ9" s="353"/>
      <c r="UA9" s="353"/>
      <c r="UB9" s="353"/>
      <c r="UC9" s="353"/>
      <c r="UD9" s="353"/>
      <c r="UE9" s="353"/>
      <c r="UF9" s="353"/>
      <c r="UG9" s="353"/>
      <c r="UH9" s="353"/>
      <c r="UI9" s="353"/>
      <c r="UJ9" s="353"/>
      <c r="UK9" s="353"/>
      <c r="UL9" s="353"/>
      <c r="UM9" s="353"/>
      <c r="UN9" s="353"/>
      <c r="UO9" s="353"/>
      <c r="UP9" s="353"/>
      <c r="UQ9" s="353"/>
      <c r="UR9" s="353"/>
      <c r="US9" s="353"/>
      <c r="UT9" s="353"/>
      <c r="UU9" s="353"/>
      <c r="UV9" s="353"/>
      <c r="UW9" s="353"/>
      <c r="UX9" s="353"/>
      <c r="UY9" s="353"/>
      <c r="UZ9" s="353"/>
      <c r="VA9" s="353"/>
      <c r="VB9" s="353"/>
      <c r="VC9" s="353"/>
      <c r="VD9" s="353"/>
      <c r="VE9" s="353"/>
      <c r="VF9" s="353"/>
      <c r="VG9" s="353"/>
      <c r="VH9" s="353"/>
      <c r="VI9" s="353"/>
      <c r="VJ9" s="353"/>
      <c r="VK9" s="353"/>
      <c r="VL9" s="353"/>
      <c r="VM9" s="353"/>
      <c r="VN9" s="353"/>
      <c r="VO9" s="353"/>
      <c r="VP9" s="353"/>
      <c r="VQ9" s="353"/>
      <c r="VR9" s="353"/>
      <c r="VS9" s="353"/>
      <c r="VT9" s="353"/>
      <c r="VU9" s="353"/>
      <c r="VV9" s="353"/>
      <c r="VW9" s="353"/>
      <c r="VX9" s="353"/>
      <c r="VY9" s="353"/>
      <c r="VZ9" s="353"/>
      <c r="WA9" s="353"/>
      <c r="WB9" s="353"/>
      <c r="WC9" s="353"/>
      <c r="WD9" s="353"/>
      <c r="WE9" s="353"/>
      <c r="WF9" s="353"/>
      <c r="WG9" s="353"/>
      <c r="WH9" s="353"/>
      <c r="WI9" s="353"/>
      <c r="WJ9" s="353"/>
      <c r="WK9" s="353"/>
      <c r="WL9" s="353"/>
      <c r="WM9" s="353"/>
      <c r="WN9" s="353"/>
      <c r="WO9" s="353"/>
      <c r="WP9" s="353"/>
      <c r="WQ9" s="353"/>
      <c r="WR9" s="353"/>
      <c r="WS9" s="353"/>
      <c r="WT9" s="353"/>
      <c r="WU9" s="353"/>
      <c r="WV9" s="353"/>
      <c r="WW9" s="353"/>
      <c r="WX9" s="353"/>
      <c r="WY9" s="353"/>
      <c r="WZ9" s="353"/>
      <c r="XA9" s="353"/>
      <c r="XB9" s="353"/>
      <c r="XC9" s="353"/>
      <c r="XD9" s="353"/>
      <c r="XE9" s="353"/>
      <c r="XF9" s="353"/>
      <c r="XG9" s="353"/>
      <c r="XH9" s="353"/>
      <c r="XI9" s="353"/>
      <c r="XJ9" s="353"/>
      <c r="XK9" s="353"/>
      <c r="XL9" s="353"/>
      <c r="XM9" s="353"/>
      <c r="XN9" s="353"/>
      <c r="XO9" s="353"/>
      <c r="XP9" s="353"/>
      <c r="XQ9" s="353"/>
      <c r="XR9" s="353"/>
      <c r="XS9" s="353"/>
      <c r="XT9" s="353"/>
      <c r="XU9" s="353"/>
      <c r="XV9" s="353"/>
      <c r="XW9" s="353"/>
      <c r="XX9" s="353"/>
      <c r="XY9" s="353"/>
      <c r="XZ9" s="353"/>
      <c r="YA9" s="353"/>
      <c r="YB9" s="353"/>
      <c r="YC9" s="353"/>
      <c r="YD9" s="353"/>
      <c r="YE9" s="353"/>
      <c r="YF9" s="353"/>
      <c r="YG9" s="353"/>
      <c r="YH9" s="353"/>
      <c r="YI9" s="353"/>
      <c r="YJ9" s="353"/>
      <c r="YK9" s="353"/>
      <c r="YL9" s="353"/>
      <c r="YM9" s="353"/>
      <c r="YN9" s="353"/>
      <c r="YO9" s="353"/>
      <c r="YP9" s="353"/>
      <c r="YQ9" s="353"/>
      <c r="YR9" s="353"/>
      <c r="YS9" s="353"/>
      <c r="YT9" s="353"/>
      <c r="YU9" s="353"/>
      <c r="YV9" s="353"/>
      <c r="YW9" s="353"/>
      <c r="YX9" s="353"/>
      <c r="YY9" s="353"/>
      <c r="YZ9" s="353"/>
      <c r="ZA9" s="353"/>
      <c r="ZB9" s="353"/>
      <c r="ZC9" s="353"/>
      <c r="ZD9" s="353"/>
      <c r="ZE9" s="353"/>
      <c r="ZF9" s="353"/>
      <c r="ZG9" s="353"/>
      <c r="ZH9" s="353"/>
      <c r="ZI9" s="353"/>
      <c r="ZJ9" s="353"/>
      <c r="ZK9" s="353"/>
      <c r="ZL9" s="353"/>
      <c r="ZM9" s="353"/>
      <c r="ZN9" s="353"/>
      <c r="ZO9" s="353"/>
      <c r="ZP9" s="353"/>
      <c r="ZQ9" s="353"/>
      <c r="ZR9" s="353"/>
      <c r="ZS9" s="353"/>
      <c r="ZT9" s="353"/>
      <c r="ZU9" s="353"/>
      <c r="ZV9" s="353"/>
      <c r="ZW9" s="353"/>
      <c r="ZX9" s="353"/>
      <c r="ZY9" s="353"/>
      <c r="ZZ9" s="353"/>
      <c r="AAA9" s="353"/>
      <c r="AAB9" s="353"/>
      <c r="AAC9" s="353"/>
      <c r="AAD9" s="353"/>
      <c r="AAE9" s="353"/>
      <c r="AAF9" s="353"/>
      <c r="AAG9" s="353"/>
      <c r="AAH9" s="353"/>
      <c r="AAI9" s="353"/>
      <c r="AAJ9" s="353"/>
      <c r="AAK9" s="353"/>
      <c r="AAL9" s="353"/>
      <c r="AAM9" s="353"/>
      <c r="AAN9" s="353"/>
      <c r="AAO9" s="353"/>
      <c r="AAP9" s="353"/>
      <c r="AAQ9" s="353"/>
      <c r="AAR9" s="353"/>
      <c r="AAS9" s="353"/>
      <c r="AAT9" s="353"/>
      <c r="AAU9" s="353"/>
      <c r="AAV9" s="353"/>
      <c r="AAW9" s="353"/>
      <c r="AAX9" s="353"/>
      <c r="AAY9" s="353"/>
      <c r="AAZ9" s="353"/>
      <c r="ABA9" s="353"/>
      <c r="ABB9" s="353"/>
      <c r="ABC9" s="353"/>
      <c r="ABD9" s="353"/>
      <c r="ABE9" s="353"/>
      <c r="ABF9" s="353"/>
      <c r="ABG9" s="353"/>
      <c r="ABH9" s="353"/>
      <c r="ABI9" s="353"/>
      <c r="ABJ9" s="353"/>
      <c r="ABK9" s="353"/>
      <c r="ABL9" s="353"/>
      <c r="ABM9" s="353"/>
      <c r="ABN9" s="353"/>
      <c r="ABO9" s="353"/>
      <c r="ABP9" s="353"/>
      <c r="ABQ9" s="353"/>
      <c r="ABR9" s="353"/>
      <c r="ABS9" s="353"/>
      <c r="ABT9" s="353"/>
      <c r="ABU9" s="353"/>
      <c r="ABV9" s="353"/>
      <c r="ABW9" s="353"/>
      <c r="ABX9" s="353"/>
      <c r="ABY9" s="353"/>
      <c r="ABZ9" s="353"/>
      <c r="ACA9" s="353"/>
      <c r="ACB9" s="353"/>
      <c r="ACC9" s="353"/>
      <c r="ACD9" s="353"/>
      <c r="ACE9" s="353"/>
      <c r="ACF9" s="353"/>
      <c r="ACG9" s="353"/>
      <c r="ACH9" s="353"/>
      <c r="ACI9" s="353"/>
      <c r="ACJ9" s="353"/>
      <c r="ACK9" s="353"/>
      <c r="ACL9" s="353"/>
      <c r="ACM9" s="353"/>
      <c r="ACN9" s="353"/>
      <c r="ACO9" s="353"/>
      <c r="ACP9" s="353"/>
      <c r="ACQ9" s="353"/>
      <c r="ACR9" s="353"/>
      <c r="ACS9" s="353"/>
      <c r="ACT9" s="353"/>
      <c r="ACU9" s="353"/>
      <c r="ACV9" s="353"/>
      <c r="ACW9" s="353"/>
      <c r="ACX9" s="353"/>
      <c r="ACY9" s="353"/>
      <c r="ACZ9" s="353"/>
      <c r="ADA9" s="353"/>
      <c r="ADB9" s="353"/>
      <c r="ADC9" s="353"/>
      <c r="ADD9" s="353"/>
      <c r="ADE9" s="353"/>
      <c r="ADF9" s="353"/>
      <c r="ADG9" s="353"/>
      <c r="ADH9" s="353"/>
      <c r="ADI9" s="353"/>
      <c r="ADJ9" s="353"/>
      <c r="ADK9" s="353"/>
      <c r="ADL9" s="353"/>
      <c r="ADM9" s="353"/>
      <c r="ADN9" s="353"/>
      <c r="ADO9" s="353"/>
      <c r="ADP9" s="353"/>
      <c r="ADQ9" s="353"/>
      <c r="ADR9" s="353"/>
      <c r="ADS9" s="353"/>
      <c r="ADT9" s="353"/>
      <c r="ADU9" s="353"/>
      <c r="ADV9" s="353"/>
      <c r="ADW9" s="353"/>
      <c r="ADX9" s="353"/>
      <c r="ADY9" s="353"/>
      <c r="ADZ9" s="353"/>
      <c r="AEA9" s="353"/>
      <c r="AEB9" s="353"/>
      <c r="AEC9" s="353"/>
      <c r="AED9" s="353"/>
      <c r="AEE9" s="353"/>
      <c r="AEF9" s="353"/>
      <c r="AEG9" s="353"/>
      <c r="AEH9" s="353"/>
      <c r="AEI9" s="353"/>
      <c r="AEJ9" s="353"/>
      <c r="AEK9" s="353"/>
      <c r="AEL9" s="353"/>
      <c r="AEM9" s="353"/>
      <c r="AEN9" s="353"/>
      <c r="AEO9" s="353"/>
      <c r="AEP9" s="353"/>
      <c r="AEQ9" s="353"/>
      <c r="AER9" s="353"/>
      <c r="AES9" s="353"/>
      <c r="AET9" s="353"/>
      <c r="AEU9" s="353"/>
      <c r="AEV9" s="353"/>
      <c r="AEW9" s="353"/>
      <c r="AEX9" s="353"/>
      <c r="AEY9" s="353"/>
      <c r="AEZ9" s="353"/>
      <c r="AFA9" s="353"/>
      <c r="AFB9" s="353"/>
      <c r="AFC9" s="353"/>
      <c r="AFD9" s="353"/>
      <c r="AFE9" s="353"/>
      <c r="AFF9" s="353"/>
      <c r="AFG9" s="353"/>
      <c r="AFH9" s="353"/>
      <c r="AFI9" s="353"/>
      <c r="AFJ9" s="353"/>
      <c r="AFK9" s="353"/>
      <c r="AFL9" s="353"/>
      <c r="AFM9" s="353"/>
      <c r="AFN9" s="353"/>
      <c r="AFO9" s="353"/>
      <c r="AFP9" s="353"/>
      <c r="AFQ9" s="353"/>
      <c r="AFR9" s="353"/>
      <c r="AFS9" s="353"/>
      <c r="AFT9" s="353"/>
      <c r="AFU9" s="353"/>
      <c r="AFV9" s="353"/>
      <c r="AFW9" s="353"/>
      <c r="AFX9" s="353"/>
      <c r="AFY9" s="353"/>
      <c r="AFZ9" s="353"/>
      <c r="AGA9" s="353"/>
      <c r="AGB9" s="353"/>
      <c r="AGC9" s="353"/>
      <c r="AGD9" s="353"/>
      <c r="AGE9" s="353"/>
      <c r="AGF9" s="353"/>
      <c r="AGG9" s="353"/>
      <c r="AGH9" s="353"/>
      <c r="AGI9" s="353"/>
      <c r="AGJ9" s="353"/>
      <c r="AGK9" s="353"/>
      <c r="AGL9" s="353"/>
      <c r="AGM9" s="353"/>
      <c r="AGN9" s="353"/>
      <c r="AGO9" s="353"/>
      <c r="AGP9" s="353"/>
      <c r="AGQ9" s="353"/>
      <c r="AGR9" s="353"/>
      <c r="AGS9" s="353"/>
      <c r="AGT9" s="353"/>
      <c r="AGU9" s="353"/>
      <c r="AGV9" s="353"/>
      <c r="AGW9" s="353"/>
      <c r="AGX9" s="353"/>
      <c r="AGY9" s="353"/>
      <c r="AGZ9" s="353"/>
      <c r="AHA9" s="353"/>
      <c r="AHB9" s="353"/>
      <c r="AHC9" s="353"/>
      <c r="AHD9" s="353"/>
      <c r="AHE9" s="353"/>
      <c r="AHF9" s="353"/>
      <c r="AHG9" s="353"/>
      <c r="AHH9" s="353"/>
      <c r="AHI9" s="353"/>
      <c r="AHJ9" s="353"/>
      <c r="AHK9" s="353"/>
      <c r="AHL9" s="353"/>
      <c r="AHM9" s="353"/>
      <c r="AHN9" s="353"/>
      <c r="AHO9" s="353"/>
      <c r="AHP9" s="353"/>
      <c r="AHQ9" s="353"/>
      <c r="AHR9" s="353"/>
      <c r="AHS9" s="353"/>
      <c r="AHT9" s="353"/>
      <c r="AHU9" s="353"/>
      <c r="AHV9" s="353"/>
      <c r="AHW9" s="353"/>
      <c r="AHX9" s="353"/>
      <c r="AHY9" s="353"/>
      <c r="AHZ9" s="353"/>
      <c r="AIA9" s="353"/>
      <c r="AIB9" s="353"/>
      <c r="AIC9" s="353"/>
      <c r="AID9" s="353"/>
      <c r="AIE9" s="353"/>
      <c r="AIF9" s="353"/>
      <c r="AIG9" s="353"/>
      <c r="AIH9" s="353"/>
      <c r="AII9" s="353"/>
      <c r="AIJ9" s="353"/>
      <c r="AIK9" s="353"/>
      <c r="AIL9" s="353"/>
      <c r="AIM9" s="353"/>
      <c r="AIN9" s="353"/>
      <c r="AIO9" s="353"/>
      <c r="AIP9" s="353"/>
      <c r="AIQ9" s="353"/>
      <c r="AIR9" s="353"/>
      <c r="AIS9" s="353"/>
      <c r="AIT9" s="353"/>
      <c r="AIU9" s="353"/>
      <c r="AIV9" s="353"/>
      <c r="AIW9" s="353"/>
      <c r="AIX9" s="353"/>
      <c r="AIY9" s="353"/>
      <c r="AIZ9" s="353"/>
      <c r="AJA9" s="353"/>
      <c r="AJB9" s="353"/>
      <c r="AJC9" s="353"/>
      <c r="AJD9" s="353"/>
      <c r="AJE9" s="353"/>
      <c r="AJF9" s="353"/>
      <c r="AJG9" s="353"/>
      <c r="AJH9" s="353"/>
      <c r="AJI9" s="353"/>
      <c r="AJJ9" s="353"/>
      <c r="AJK9" s="353"/>
      <c r="AJL9" s="353"/>
      <c r="AJM9" s="353"/>
      <c r="AJN9" s="353"/>
      <c r="AJO9" s="353"/>
      <c r="AJP9" s="353"/>
      <c r="AJQ9" s="353"/>
      <c r="AJR9" s="353"/>
      <c r="AJS9" s="353"/>
      <c r="AJT9" s="353"/>
      <c r="AJU9" s="353"/>
      <c r="AJV9" s="353"/>
      <c r="AJW9" s="353"/>
      <c r="AJX9" s="353"/>
      <c r="AJY9" s="353"/>
      <c r="AJZ9" s="353"/>
      <c r="AKA9" s="353"/>
      <c r="AKB9" s="353"/>
      <c r="AKC9" s="353"/>
      <c r="AKD9" s="353"/>
      <c r="AKE9" s="353"/>
      <c r="AKF9" s="353"/>
      <c r="AKG9" s="353"/>
      <c r="AKH9" s="353"/>
      <c r="AKI9" s="353"/>
      <c r="AKJ9" s="353"/>
      <c r="AKK9" s="353"/>
      <c r="AKL9" s="353"/>
      <c r="AKM9" s="353"/>
      <c r="AKN9" s="353"/>
      <c r="AKO9" s="353"/>
      <c r="AKP9" s="353"/>
      <c r="AKQ9" s="353"/>
      <c r="AKR9" s="353"/>
      <c r="AKS9" s="353"/>
      <c r="AKT9" s="353"/>
      <c r="AKU9" s="353"/>
      <c r="AKV9" s="353"/>
      <c r="AKW9" s="353"/>
      <c r="AKX9" s="353"/>
      <c r="AKY9" s="353"/>
      <c r="AKZ9" s="353"/>
      <c r="ALA9" s="353"/>
      <c r="ALB9" s="353"/>
      <c r="ALC9" s="353"/>
      <c r="ALD9" s="353"/>
      <c r="ALE9" s="353"/>
      <c r="ALF9" s="353"/>
      <c r="ALG9" s="353"/>
      <c r="ALH9" s="353"/>
      <c r="ALI9" s="353"/>
      <c r="ALJ9" s="353"/>
      <c r="ALK9" s="353"/>
      <c r="ALL9" s="353"/>
      <c r="ALM9" s="353"/>
      <c r="ALN9" s="353"/>
      <c r="ALO9" s="353"/>
      <c r="ALP9" s="353"/>
      <c r="ALQ9" s="353"/>
      <c r="ALR9" s="353"/>
      <c r="ALS9" s="353"/>
      <c r="ALT9" s="353"/>
      <c r="ALU9" s="353"/>
      <c r="ALV9" s="353"/>
      <c r="ALW9" s="353"/>
      <c r="ALX9" s="353"/>
      <c r="ALY9" s="353"/>
      <c r="ALZ9" s="353"/>
      <c r="AMA9" s="353"/>
      <c r="AMB9" s="353"/>
      <c r="AMC9" s="353"/>
      <c r="AMD9" s="353"/>
      <c r="AME9" s="353"/>
      <c r="AMF9" s="353"/>
      <c r="AMG9" s="353"/>
      <c r="AMH9" s="353"/>
      <c r="AMI9" s="353"/>
      <c r="AMJ9" s="353"/>
      <c r="AMK9" s="353"/>
      <c r="AML9" s="353"/>
      <c r="AMM9" s="353"/>
      <c r="AMN9" s="353"/>
      <c r="AMO9" s="353"/>
      <c r="AMP9" s="353"/>
    </row>
    <row r="10" spans="1:1030" s="354" customFormat="1" ht="27.6" customHeight="1" thickTop="1" x14ac:dyDescent="0.2">
      <c r="C10" s="347"/>
      <c r="D10" s="347"/>
      <c r="E10" s="300"/>
      <c r="F10" s="379" t="s">
        <v>246</v>
      </c>
      <c r="G10" s="380"/>
      <c r="H10" s="368"/>
      <c r="I10" s="368"/>
      <c r="J10" s="368"/>
      <c r="K10" s="368"/>
      <c r="L10" s="368"/>
      <c r="M10" s="368"/>
      <c r="N10" s="381"/>
      <c r="O10" s="369"/>
      <c r="P10" s="382"/>
      <c r="Q10" s="370"/>
      <c r="R10" s="383" t="s">
        <v>247</v>
      </c>
      <c r="S10" s="384"/>
      <c r="T10" s="383"/>
      <c r="U10" s="370"/>
      <c r="V10" s="370"/>
      <c r="W10" s="385"/>
      <c r="X10" s="385"/>
      <c r="Y10" s="370"/>
      <c r="Z10" s="370"/>
      <c r="AA10" s="370"/>
      <c r="AB10" s="370"/>
      <c r="AC10" s="370"/>
      <c r="AD10" s="370"/>
      <c r="AE10" s="370"/>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53"/>
      <c r="FK10" s="353"/>
      <c r="FL10" s="353"/>
      <c r="FM10" s="353"/>
      <c r="FN10" s="353"/>
      <c r="FO10" s="353"/>
      <c r="FP10" s="353"/>
      <c r="FQ10" s="353"/>
      <c r="FR10" s="353"/>
      <c r="FS10" s="353"/>
      <c r="FT10" s="353"/>
      <c r="FU10" s="353"/>
      <c r="FV10" s="353"/>
      <c r="FW10" s="353"/>
      <c r="FX10" s="353"/>
      <c r="FY10" s="353"/>
      <c r="FZ10" s="353"/>
      <c r="GA10" s="353"/>
      <c r="GB10" s="353"/>
      <c r="GC10" s="353"/>
      <c r="GD10" s="353"/>
      <c r="GE10" s="353"/>
      <c r="GF10" s="353"/>
      <c r="GG10" s="353"/>
      <c r="GH10" s="353"/>
      <c r="GI10" s="353"/>
      <c r="GJ10" s="353"/>
      <c r="GK10" s="353"/>
      <c r="GL10" s="353"/>
      <c r="GM10" s="353"/>
      <c r="GN10" s="353"/>
      <c r="GO10" s="353"/>
      <c r="GP10" s="353"/>
      <c r="GQ10" s="353"/>
      <c r="GR10" s="353"/>
      <c r="GS10" s="353"/>
      <c r="GT10" s="353"/>
      <c r="GU10" s="353"/>
      <c r="GV10" s="353"/>
      <c r="GW10" s="353"/>
      <c r="GX10" s="353"/>
      <c r="GY10" s="353"/>
      <c r="GZ10" s="353"/>
      <c r="HA10" s="353"/>
      <c r="HB10" s="353"/>
      <c r="HC10" s="353"/>
      <c r="HD10" s="353"/>
      <c r="HE10" s="353"/>
      <c r="HF10" s="353"/>
      <c r="HG10" s="353"/>
      <c r="HH10" s="353"/>
      <c r="HI10" s="353"/>
      <c r="HJ10" s="353"/>
      <c r="HK10" s="353"/>
      <c r="HL10" s="353"/>
      <c r="HM10" s="353"/>
      <c r="HN10" s="353"/>
      <c r="HO10" s="353"/>
      <c r="HP10" s="353"/>
      <c r="HQ10" s="353"/>
      <c r="HR10" s="353"/>
      <c r="HS10" s="353"/>
      <c r="HT10" s="353"/>
      <c r="HU10" s="353"/>
      <c r="HV10" s="353"/>
      <c r="HW10" s="353"/>
      <c r="HX10" s="353"/>
      <c r="HY10" s="353"/>
      <c r="HZ10" s="353"/>
      <c r="IA10" s="353"/>
      <c r="IB10" s="353"/>
      <c r="IC10" s="353"/>
      <c r="ID10" s="353"/>
      <c r="IE10" s="353"/>
      <c r="IF10" s="353"/>
      <c r="IG10" s="353"/>
      <c r="IH10" s="353"/>
      <c r="II10" s="353"/>
      <c r="IJ10" s="353"/>
      <c r="IK10" s="353"/>
      <c r="IL10" s="353"/>
      <c r="IM10" s="353"/>
      <c r="IN10" s="353"/>
      <c r="IO10" s="353"/>
      <c r="IP10" s="353"/>
      <c r="IQ10" s="353"/>
      <c r="IR10" s="353"/>
      <c r="IS10" s="353"/>
      <c r="IT10" s="353"/>
      <c r="IU10" s="353"/>
      <c r="IV10" s="353"/>
      <c r="IW10" s="353"/>
      <c r="IX10" s="353"/>
      <c r="IY10" s="353"/>
      <c r="IZ10" s="353"/>
      <c r="JA10" s="353"/>
      <c r="JB10" s="353"/>
      <c r="JC10" s="353"/>
      <c r="JD10" s="353"/>
      <c r="JE10" s="353"/>
      <c r="JF10" s="353"/>
      <c r="JG10" s="353"/>
      <c r="JH10" s="353"/>
      <c r="JI10" s="353"/>
      <c r="JJ10" s="353"/>
      <c r="JK10" s="353"/>
      <c r="JL10" s="353"/>
      <c r="JM10" s="353"/>
      <c r="JN10" s="353"/>
      <c r="JO10" s="353"/>
      <c r="JP10" s="353"/>
      <c r="JQ10" s="353"/>
      <c r="JR10" s="353"/>
      <c r="JS10" s="353"/>
      <c r="JT10" s="353"/>
      <c r="JU10" s="353"/>
      <c r="JV10" s="353"/>
      <c r="JW10" s="353"/>
      <c r="JX10" s="353"/>
      <c r="JY10" s="353"/>
      <c r="JZ10" s="353"/>
      <c r="KA10" s="353"/>
      <c r="KB10" s="353"/>
      <c r="KC10" s="353"/>
      <c r="KD10" s="353"/>
      <c r="KE10" s="353"/>
      <c r="KF10" s="353"/>
      <c r="KG10" s="353"/>
      <c r="KH10" s="353"/>
      <c r="KI10" s="353"/>
      <c r="KJ10" s="353"/>
      <c r="KK10" s="353"/>
      <c r="KL10" s="353"/>
      <c r="KM10" s="353"/>
      <c r="KN10" s="353"/>
      <c r="KO10" s="353"/>
      <c r="KP10" s="353"/>
      <c r="KQ10" s="353"/>
      <c r="KR10" s="353"/>
      <c r="KS10" s="353"/>
      <c r="KT10" s="353"/>
      <c r="KU10" s="353"/>
      <c r="KV10" s="353"/>
      <c r="KW10" s="353"/>
      <c r="KX10" s="353"/>
      <c r="KY10" s="353"/>
      <c r="KZ10" s="353"/>
      <c r="LA10" s="353"/>
      <c r="LB10" s="353"/>
      <c r="LC10" s="353"/>
      <c r="LD10" s="353"/>
      <c r="LE10" s="353"/>
      <c r="LF10" s="353"/>
      <c r="LG10" s="353"/>
      <c r="LH10" s="353"/>
      <c r="LI10" s="353"/>
      <c r="LJ10" s="353"/>
      <c r="LK10" s="353"/>
      <c r="LL10" s="353"/>
      <c r="LM10" s="353"/>
      <c r="LN10" s="353"/>
      <c r="LO10" s="353"/>
      <c r="LP10" s="353"/>
      <c r="LQ10" s="353"/>
      <c r="LR10" s="353"/>
      <c r="LS10" s="353"/>
      <c r="LT10" s="353"/>
      <c r="LU10" s="353"/>
      <c r="LV10" s="353"/>
      <c r="LW10" s="353"/>
      <c r="LX10" s="353"/>
      <c r="LY10" s="353"/>
      <c r="LZ10" s="353"/>
      <c r="MA10" s="353"/>
      <c r="MB10" s="353"/>
      <c r="MC10" s="353"/>
      <c r="MD10" s="353"/>
      <c r="ME10" s="353"/>
      <c r="MF10" s="353"/>
      <c r="MG10" s="353"/>
      <c r="MH10" s="353"/>
      <c r="MI10" s="353"/>
      <c r="MJ10" s="353"/>
      <c r="MK10" s="353"/>
      <c r="ML10" s="353"/>
      <c r="MM10" s="353"/>
      <c r="MN10" s="353"/>
      <c r="MO10" s="353"/>
      <c r="MP10" s="353"/>
      <c r="MQ10" s="353"/>
      <c r="MR10" s="353"/>
      <c r="MS10" s="353"/>
      <c r="MT10" s="353"/>
      <c r="MU10" s="353"/>
      <c r="MV10" s="353"/>
      <c r="MW10" s="353"/>
      <c r="MX10" s="353"/>
      <c r="MY10" s="353"/>
      <c r="MZ10" s="353"/>
      <c r="NA10" s="353"/>
      <c r="NB10" s="353"/>
      <c r="NC10" s="353"/>
      <c r="ND10" s="353"/>
      <c r="NE10" s="353"/>
      <c r="NF10" s="353"/>
      <c r="NG10" s="353"/>
      <c r="NH10" s="353"/>
      <c r="NI10" s="353"/>
      <c r="NJ10" s="353"/>
      <c r="NK10" s="353"/>
      <c r="NL10" s="353"/>
      <c r="NM10" s="353"/>
      <c r="NN10" s="353"/>
      <c r="NO10" s="353"/>
      <c r="NP10" s="353"/>
      <c r="NQ10" s="353"/>
      <c r="NR10" s="353"/>
      <c r="NS10" s="353"/>
      <c r="NT10" s="353"/>
      <c r="NU10" s="353"/>
      <c r="NV10" s="353"/>
      <c r="NW10" s="353"/>
      <c r="NX10" s="353"/>
      <c r="NY10" s="353"/>
      <c r="NZ10" s="353"/>
      <c r="OA10" s="353"/>
      <c r="OB10" s="353"/>
      <c r="OC10" s="353"/>
      <c r="OD10" s="353"/>
      <c r="OE10" s="353"/>
      <c r="OF10" s="353"/>
      <c r="OG10" s="353"/>
      <c r="OH10" s="353"/>
      <c r="OI10" s="353"/>
      <c r="OJ10" s="353"/>
      <c r="OK10" s="353"/>
      <c r="OL10" s="353"/>
      <c r="OM10" s="353"/>
      <c r="ON10" s="353"/>
      <c r="OO10" s="353"/>
      <c r="OP10" s="353"/>
      <c r="OQ10" s="353"/>
      <c r="OR10" s="353"/>
      <c r="OS10" s="353"/>
      <c r="OT10" s="353"/>
      <c r="OU10" s="353"/>
      <c r="OV10" s="353"/>
      <c r="OW10" s="353"/>
      <c r="OX10" s="353"/>
      <c r="OY10" s="353"/>
      <c r="OZ10" s="353"/>
      <c r="PA10" s="353"/>
      <c r="PB10" s="353"/>
      <c r="PC10" s="353"/>
      <c r="PD10" s="353"/>
      <c r="PE10" s="353"/>
      <c r="PF10" s="353"/>
      <c r="PG10" s="353"/>
      <c r="PH10" s="353"/>
      <c r="PI10" s="353"/>
      <c r="PJ10" s="353"/>
      <c r="PK10" s="353"/>
      <c r="PL10" s="353"/>
      <c r="PM10" s="353"/>
      <c r="PN10" s="353"/>
      <c r="PO10" s="353"/>
      <c r="PP10" s="353"/>
      <c r="PQ10" s="353"/>
      <c r="PR10" s="353"/>
      <c r="PS10" s="353"/>
      <c r="PT10" s="353"/>
      <c r="PU10" s="353"/>
      <c r="PV10" s="353"/>
      <c r="PW10" s="353"/>
      <c r="PX10" s="353"/>
      <c r="PY10" s="353"/>
      <c r="PZ10" s="353"/>
      <c r="QA10" s="353"/>
      <c r="QB10" s="353"/>
      <c r="QC10" s="353"/>
      <c r="QD10" s="353"/>
      <c r="QE10" s="353"/>
      <c r="QF10" s="353"/>
      <c r="QG10" s="353"/>
      <c r="QH10" s="353"/>
      <c r="QI10" s="353"/>
      <c r="QJ10" s="353"/>
      <c r="QK10" s="353"/>
      <c r="QL10" s="353"/>
      <c r="QM10" s="353"/>
      <c r="QN10" s="353"/>
      <c r="QO10" s="353"/>
      <c r="QP10" s="353"/>
      <c r="QQ10" s="353"/>
      <c r="QR10" s="353"/>
      <c r="QS10" s="353"/>
      <c r="QT10" s="353"/>
      <c r="QU10" s="353"/>
      <c r="QV10" s="353"/>
      <c r="QW10" s="353"/>
      <c r="QX10" s="353"/>
      <c r="QY10" s="353"/>
      <c r="QZ10" s="353"/>
      <c r="RA10" s="353"/>
      <c r="RB10" s="353"/>
      <c r="RC10" s="353"/>
      <c r="RD10" s="353"/>
      <c r="RE10" s="353"/>
      <c r="RF10" s="353"/>
      <c r="RG10" s="353"/>
      <c r="RH10" s="353"/>
      <c r="RI10" s="353"/>
      <c r="RJ10" s="353"/>
      <c r="RK10" s="353"/>
      <c r="RL10" s="353"/>
      <c r="RM10" s="353"/>
      <c r="RN10" s="353"/>
      <c r="RO10" s="353"/>
      <c r="RP10" s="353"/>
      <c r="RQ10" s="353"/>
      <c r="RR10" s="353"/>
      <c r="RS10" s="353"/>
      <c r="RT10" s="353"/>
      <c r="RU10" s="353"/>
      <c r="RV10" s="353"/>
      <c r="RW10" s="353"/>
      <c r="RX10" s="353"/>
      <c r="RY10" s="353"/>
      <c r="RZ10" s="353"/>
      <c r="SA10" s="353"/>
      <c r="SB10" s="353"/>
      <c r="SC10" s="353"/>
      <c r="SD10" s="353"/>
      <c r="SE10" s="353"/>
      <c r="SF10" s="353"/>
      <c r="SG10" s="353"/>
      <c r="SH10" s="353"/>
      <c r="SI10" s="353"/>
      <c r="SJ10" s="353"/>
      <c r="SK10" s="353"/>
      <c r="SL10" s="353"/>
      <c r="SM10" s="353"/>
      <c r="SN10" s="353"/>
      <c r="SO10" s="353"/>
      <c r="SP10" s="353"/>
      <c r="SQ10" s="353"/>
      <c r="SR10" s="353"/>
      <c r="SS10" s="353"/>
      <c r="ST10" s="353"/>
      <c r="SU10" s="353"/>
      <c r="SV10" s="353"/>
      <c r="SW10" s="353"/>
      <c r="SX10" s="353"/>
      <c r="SY10" s="353"/>
      <c r="SZ10" s="353"/>
      <c r="TA10" s="353"/>
      <c r="TB10" s="353"/>
      <c r="TC10" s="353"/>
      <c r="TD10" s="353"/>
      <c r="TE10" s="353"/>
      <c r="TF10" s="353"/>
      <c r="TG10" s="353"/>
      <c r="TH10" s="353"/>
      <c r="TI10" s="353"/>
      <c r="TJ10" s="353"/>
      <c r="TK10" s="353"/>
      <c r="TL10" s="353"/>
      <c r="TM10" s="353"/>
      <c r="TN10" s="353"/>
      <c r="TO10" s="353"/>
      <c r="TP10" s="353"/>
      <c r="TQ10" s="353"/>
      <c r="TR10" s="353"/>
      <c r="TS10" s="353"/>
      <c r="TT10" s="353"/>
      <c r="TU10" s="353"/>
      <c r="TV10" s="353"/>
      <c r="TW10" s="353"/>
      <c r="TX10" s="353"/>
      <c r="TY10" s="353"/>
      <c r="TZ10" s="353"/>
      <c r="UA10" s="353"/>
      <c r="UB10" s="353"/>
      <c r="UC10" s="353"/>
      <c r="UD10" s="353"/>
      <c r="UE10" s="353"/>
      <c r="UF10" s="353"/>
      <c r="UG10" s="353"/>
      <c r="UH10" s="353"/>
      <c r="UI10" s="353"/>
      <c r="UJ10" s="353"/>
      <c r="UK10" s="353"/>
      <c r="UL10" s="353"/>
      <c r="UM10" s="353"/>
      <c r="UN10" s="353"/>
      <c r="UO10" s="353"/>
      <c r="UP10" s="353"/>
      <c r="UQ10" s="353"/>
      <c r="UR10" s="353"/>
      <c r="US10" s="353"/>
      <c r="UT10" s="353"/>
      <c r="UU10" s="353"/>
      <c r="UV10" s="353"/>
      <c r="UW10" s="353"/>
      <c r="UX10" s="353"/>
      <c r="UY10" s="353"/>
      <c r="UZ10" s="353"/>
      <c r="VA10" s="353"/>
      <c r="VB10" s="353"/>
      <c r="VC10" s="353"/>
      <c r="VD10" s="353"/>
      <c r="VE10" s="353"/>
      <c r="VF10" s="353"/>
      <c r="VG10" s="353"/>
      <c r="VH10" s="353"/>
      <c r="VI10" s="353"/>
      <c r="VJ10" s="353"/>
      <c r="VK10" s="353"/>
      <c r="VL10" s="353"/>
      <c r="VM10" s="353"/>
      <c r="VN10" s="353"/>
      <c r="VO10" s="353"/>
      <c r="VP10" s="353"/>
      <c r="VQ10" s="353"/>
      <c r="VR10" s="353"/>
      <c r="VS10" s="353"/>
      <c r="VT10" s="353"/>
      <c r="VU10" s="353"/>
      <c r="VV10" s="353"/>
      <c r="VW10" s="353"/>
      <c r="VX10" s="353"/>
      <c r="VY10" s="353"/>
      <c r="VZ10" s="353"/>
      <c r="WA10" s="353"/>
      <c r="WB10" s="353"/>
      <c r="WC10" s="353"/>
      <c r="WD10" s="353"/>
      <c r="WE10" s="353"/>
      <c r="WF10" s="353"/>
      <c r="WG10" s="353"/>
      <c r="WH10" s="353"/>
      <c r="WI10" s="353"/>
      <c r="WJ10" s="353"/>
      <c r="WK10" s="353"/>
      <c r="WL10" s="353"/>
      <c r="WM10" s="353"/>
      <c r="WN10" s="353"/>
      <c r="WO10" s="353"/>
      <c r="WP10" s="353"/>
      <c r="WQ10" s="353"/>
      <c r="WR10" s="353"/>
      <c r="WS10" s="353"/>
      <c r="WT10" s="353"/>
      <c r="WU10" s="353"/>
      <c r="WV10" s="353"/>
      <c r="WW10" s="353"/>
      <c r="WX10" s="353"/>
      <c r="WY10" s="353"/>
      <c r="WZ10" s="353"/>
      <c r="XA10" s="353"/>
      <c r="XB10" s="353"/>
      <c r="XC10" s="353"/>
      <c r="XD10" s="353"/>
      <c r="XE10" s="353"/>
      <c r="XF10" s="353"/>
      <c r="XG10" s="353"/>
      <c r="XH10" s="353"/>
      <c r="XI10" s="353"/>
      <c r="XJ10" s="353"/>
      <c r="XK10" s="353"/>
      <c r="XL10" s="353"/>
      <c r="XM10" s="353"/>
      <c r="XN10" s="353"/>
      <c r="XO10" s="353"/>
      <c r="XP10" s="353"/>
      <c r="XQ10" s="353"/>
      <c r="XR10" s="353"/>
      <c r="XS10" s="353"/>
      <c r="XT10" s="353"/>
      <c r="XU10" s="353"/>
      <c r="XV10" s="353"/>
      <c r="XW10" s="353"/>
      <c r="XX10" s="353"/>
      <c r="XY10" s="353"/>
      <c r="XZ10" s="353"/>
      <c r="YA10" s="353"/>
      <c r="YB10" s="353"/>
      <c r="YC10" s="353"/>
      <c r="YD10" s="353"/>
      <c r="YE10" s="353"/>
      <c r="YF10" s="353"/>
      <c r="YG10" s="353"/>
      <c r="YH10" s="353"/>
      <c r="YI10" s="353"/>
      <c r="YJ10" s="353"/>
      <c r="YK10" s="353"/>
      <c r="YL10" s="353"/>
      <c r="YM10" s="353"/>
      <c r="YN10" s="353"/>
      <c r="YO10" s="353"/>
      <c r="YP10" s="353"/>
      <c r="YQ10" s="353"/>
      <c r="YR10" s="353"/>
      <c r="YS10" s="353"/>
      <c r="YT10" s="353"/>
      <c r="YU10" s="353"/>
      <c r="YV10" s="353"/>
      <c r="YW10" s="353"/>
      <c r="YX10" s="353"/>
      <c r="YY10" s="353"/>
      <c r="YZ10" s="353"/>
      <c r="ZA10" s="353"/>
      <c r="ZB10" s="353"/>
      <c r="ZC10" s="353"/>
      <c r="ZD10" s="353"/>
      <c r="ZE10" s="353"/>
      <c r="ZF10" s="353"/>
      <c r="ZG10" s="353"/>
      <c r="ZH10" s="353"/>
      <c r="ZI10" s="353"/>
      <c r="ZJ10" s="353"/>
      <c r="ZK10" s="353"/>
      <c r="ZL10" s="353"/>
      <c r="ZM10" s="353"/>
      <c r="ZN10" s="353"/>
      <c r="ZO10" s="353"/>
      <c r="ZP10" s="353"/>
      <c r="ZQ10" s="353"/>
      <c r="ZR10" s="353"/>
      <c r="ZS10" s="353"/>
      <c r="ZT10" s="353"/>
      <c r="ZU10" s="353"/>
      <c r="ZV10" s="353"/>
      <c r="ZW10" s="353"/>
      <c r="ZX10" s="353"/>
      <c r="ZY10" s="353"/>
      <c r="ZZ10" s="353"/>
      <c r="AAA10" s="353"/>
      <c r="AAB10" s="353"/>
      <c r="AAC10" s="353"/>
      <c r="AAD10" s="353"/>
      <c r="AAE10" s="353"/>
      <c r="AAF10" s="353"/>
      <c r="AAG10" s="353"/>
      <c r="AAH10" s="353"/>
      <c r="AAI10" s="353"/>
      <c r="AAJ10" s="353"/>
      <c r="AAK10" s="353"/>
      <c r="AAL10" s="353"/>
      <c r="AAM10" s="353"/>
      <c r="AAN10" s="353"/>
      <c r="AAO10" s="353"/>
      <c r="AAP10" s="353"/>
      <c r="AAQ10" s="353"/>
      <c r="AAR10" s="353"/>
      <c r="AAS10" s="353"/>
      <c r="AAT10" s="353"/>
      <c r="AAU10" s="353"/>
      <c r="AAV10" s="353"/>
      <c r="AAW10" s="353"/>
      <c r="AAX10" s="353"/>
      <c r="AAY10" s="353"/>
      <c r="AAZ10" s="353"/>
      <c r="ABA10" s="353"/>
      <c r="ABB10" s="353"/>
      <c r="ABC10" s="353"/>
      <c r="ABD10" s="353"/>
      <c r="ABE10" s="353"/>
      <c r="ABF10" s="353"/>
      <c r="ABG10" s="353"/>
      <c r="ABH10" s="353"/>
      <c r="ABI10" s="353"/>
      <c r="ABJ10" s="353"/>
      <c r="ABK10" s="353"/>
      <c r="ABL10" s="353"/>
      <c r="ABM10" s="353"/>
      <c r="ABN10" s="353"/>
      <c r="ABO10" s="353"/>
      <c r="ABP10" s="353"/>
      <c r="ABQ10" s="353"/>
      <c r="ABR10" s="353"/>
      <c r="ABS10" s="353"/>
      <c r="ABT10" s="353"/>
      <c r="ABU10" s="353"/>
      <c r="ABV10" s="353"/>
      <c r="ABW10" s="353"/>
      <c r="ABX10" s="353"/>
      <c r="ABY10" s="353"/>
      <c r="ABZ10" s="353"/>
      <c r="ACA10" s="353"/>
      <c r="ACB10" s="353"/>
      <c r="ACC10" s="353"/>
      <c r="ACD10" s="353"/>
      <c r="ACE10" s="353"/>
      <c r="ACF10" s="353"/>
      <c r="ACG10" s="353"/>
      <c r="ACH10" s="353"/>
      <c r="ACI10" s="353"/>
      <c r="ACJ10" s="353"/>
      <c r="ACK10" s="353"/>
      <c r="ACL10" s="353"/>
      <c r="ACM10" s="353"/>
      <c r="ACN10" s="353"/>
      <c r="ACO10" s="353"/>
      <c r="ACP10" s="353"/>
      <c r="ACQ10" s="353"/>
      <c r="ACR10" s="353"/>
      <c r="ACS10" s="353"/>
      <c r="ACT10" s="353"/>
      <c r="ACU10" s="353"/>
      <c r="ACV10" s="353"/>
      <c r="ACW10" s="353"/>
      <c r="ACX10" s="353"/>
      <c r="ACY10" s="353"/>
      <c r="ACZ10" s="353"/>
      <c r="ADA10" s="353"/>
      <c r="ADB10" s="353"/>
      <c r="ADC10" s="353"/>
      <c r="ADD10" s="353"/>
      <c r="ADE10" s="353"/>
      <c r="ADF10" s="353"/>
      <c r="ADG10" s="353"/>
      <c r="ADH10" s="353"/>
      <c r="ADI10" s="353"/>
      <c r="ADJ10" s="353"/>
      <c r="ADK10" s="353"/>
      <c r="ADL10" s="353"/>
      <c r="ADM10" s="353"/>
      <c r="ADN10" s="353"/>
      <c r="ADO10" s="353"/>
      <c r="ADP10" s="353"/>
      <c r="ADQ10" s="353"/>
      <c r="ADR10" s="353"/>
      <c r="ADS10" s="353"/>
      <c r="ADT10" s="353"/>
      <c r="ADU10" s="353"/>
      <c r="ADV10" s="353"/>
      <c r="ADW10" s="353"/>
      <c r="ADX10" s="353"/>
      <c r="ADY10" s="353"/>
      <c r="ADZ10" s="353"/>
      <c r="AEA10" s="353"/>
      <c r="AEB10" s="353"/>
      <c r="AEC10" s="353"/>
      <c r="AED10" s="353"/>
      <c r="AEE10" s="353"/>
      <c r="AEF10" s="353"/>
      <c r="AEG10" s="353"/>
      <c r="AEH10" s="353"/>
      <c r="AEI10" s="353"/>
      <c r="AEJ10" s="353"/>
      <c r="AEK10" s="353"/>
      <c r="AEL10" s="353"/>
      <c r="AEM10" s="353"/>
      <c r="AEN10" s="353"/>
      <c r="AEO10" s="353"/>
      <c r="AEP10" s="353"/>
      <c r="AEQ10" s="353"/>
      <c r="AER10" s="353"/>
      <c r="AES10" s="353"/>
      <c r="AET10" s="353"/>
      <c r="AEU10" s="353"/>
      <c r="AEV10" s="353"/>
      <c r="AEW10" s="353"/>
      <c r="AEX10" s="353"/>
      <c r="AEY10" s="353"/>
      <c r="AEZ10" s="353"/>
      <c r="AFA10" s="353"/>
      <c r="AFB10" s="353"/>
      <c r="AFC10" s="353"/>
      <c r="AFD10" s="353"/>
      <c r="AFE10" s="353"/>
      <c r="AFF10" s="353"/>
      <c r="AFG10" s="353"/>
      <c r="AFH10" s="353"/>
      <c r="AFI10" s="353"/>
      <c r="AFJ10" s="353"/>
      <c r="AFK10" s="353"/>
      <c r="AFL10" s="353"/>
      <c r="AFM10" s="353"/>
      <c r="AFN10" s="353"/>
      <c r="AFO10" s="353"/>
      <c r="AFP10" s="353"/>
      <c r="AFQ10" s="353"/>
      <c r="AFR10" s="353"/>
      <c r="AFS10" s="353"/>
      <c r="AFT10" s="353"/>
      <c r="AFU10" s="353"/>
      <c r="AFV10" s="353"/>
      <c r="AFW10" s="353"/>
      <c r="AFX10" s="353"/>
      <c r="AFY10" s="353"/>
      <c r="AFZ10" s="353"/>
      <c r="AGA10" s="353"/>
      <c r="AGB10" s="353"/>
      <c r="AGC10" s="353"/>
      <c r="AGD10" s="353"/>
      <c r="AGE10" s="353"/>
      <c r="AGF10" s="353"/>
      <c r="AGG10" s="353"/>
      <c r="AGH10" s="353"/>
      <c r="AGI10" s="353"/>
      <c r="AGJ10" s="353"/>
      <c r="AGK10" s="353"/>
      <c r="AGL10" s="353"/>
      <c r="AGM10" s="353"/>
      <c r="AGN10" s="353"/>
      <c r="AGO10" s="353"/>
      <c r="AGP10" s="353"/>
      <c r="AGQ10" s="353"/>
      <c r="AGR10" s="353"/>
      <c r="AGS10" s="353"/>
      <c r="AGT10" s="353"/>
      <c r="AGU10" s="353"/>
      <c r="AGV10" s="353"/>
      <c r="AGW10" s="353"/>
      <c r="AGX10" s="353"/>
      <c r="AGY10" s="353"/>
      <c r="AGZ10" s="353"/>
      <c r="AHA10" s="353"/>
      <c r="AHB10" s="353"/>
      <c r="AHC10" s="353"/>
      <c r="AHD10" s="353"/>
      <c r="AHE10" s="353"/>
      <c r="AHF10" s="353"/>
      <c r="AHG10" s="353"/>
      <c r="AHH10" s="353"/>
      <c r="AHI10" s="353"/>
      <c r="AHJ10" s="353"/>
      <c r="AHK10" s="353"/>
      <c r="AHL10" s="353"/>
      <c r="AHM10" s="353"/>
      <c r="AHN10" s="353"/>
      <c r="AHO10" s="353"/>
      <c r="AHP10" s="353"/>
      <c r="AHQ10" s="353"/>
      <c r="AHR10" s="353"/>
      <c r="AHS10" s="353"/>
      <c r="AHT10" s="353"/>
      <c r="AHU10" s="353"/>
      <c r="AHV10" s="353"/>
      <c r="AHW10" s="353"/>
      <c r="AHX10" s="353"/>
      <c r="AHY10" s="353"/>
      <c r="AHZ10" s="353"/>
      <c r="AIA10" s="353"/>
      <c r="AIB10" s="353"/>
      <c r="AIC10" s="353"/>
      <c r="AID10" s="353"/>
      <c r="AIE10" s="353"/>
      <c r="AIF10" s="353"/>
      <c r="AIG10" s="353"/>
      <c r="AIH10" s="353"/>
      <c r="AII10" s="353"/>
      <c r="AIJ10" s="353"/>
      <c r="AIK10" s="353"/>
      <c r="AIL10" s="353"/>
      <c r="AIM10" s="353"/>
      <c r="AIN10" s="353"/>
      <c r="AIO10" s="353"/>
      <c r="AIP10" s="353"/>
      <c r="AIQ10" s="353"/>
      <c r="AIR10" s="353"/>
      <c r="AIS10" s="353"/>
      <c r="AIT10" s="353"/>
      <c r="AIU10" s="353"/>
      <c r="AIV10" s="353"/>
      <c r="AIW10" s="353"/>
      <c r="AIX10" s="353"/>
      <c r="AIY10" s="353"/>
      <c r="AIZ10" s="353"/>
      <c r="AJA10" s="353"/>
      <c r="AJB10" s="353"/>
      <c r="AJC10" s="353"/>
      <c r="AJD10" s="353"/>
      <c r="AJE10" s="353"/>
      <c r="AJF10" s="353"/>
      <c r="AJG10" s="353"/>
      <c r="AJH10" s="353"/>
      <c r="AJI10" s="353"/>
      <c r="AJJ10" s="353"/>
      <c r="AJK10" s="353"/>
      <c r="AJL10" s="353"/>
      <c r="AJM10" s="353"/>
      <c r="AJN10" s="353"/>
      <c r="AJO10" s="353"/>
      <c r="AJP10" s="353"/>
      <c r="AJQ10" s="353"/>
      <c r="AJR10" s="353"/>
      <c r="AJS10" s="353"/>
      <c r="AJT10" s="353"/>
      <c r="AJU10" s="353"/>
      <c r="AJV10" s="353"/>
      <c r="AJW10" s="353"/>
      <c r="AJX10" s="353"/>
      <c r="AJY10" s="353"/>
      <c r="AJZ10" s="353"/>
      <c r="AKA10" s="353"/>
      <c r="AKB10" s="353"/>
      <c r="AKC10" s="353"/>
      <c r="AKD10" s="353"/>
      <c r="AKE10" s="353"/>
      <c r="AKF10" s="353"/>
      <c r="AKG10" s="353"/>
      <c r="AKH10" s="353"/>
      <c r="AKI10" s="353"/>
      <c r="AKJ10" s="353"/>
      <c r="AKK10" s="353"/>
      <c r="AKL10" s="353"/>
      <c r="AKM10" s="353"/>
      <c r="AKN10" s="353"/>
      <c r="AKO10" s="353"/>
      <c r="AKP10" s="353"/>
      <c r="AKQ10" s="353"/>
      <c r="AKR10" s="353"/>
      <c r="AKS10" s="353"/>
      <c r="AKT10" s="353"/>
      <c r="AKU10" s="353"/>
      <c r="AKV10" s="353"/>
      <c r="AKW10" s="353"/>
      <c r="AKX10" s="353"/>
      <c r="AKY10" s="353"/>
      <c r="AKZ10" s="353"/>
      <c r="ALA10" s="353"/>
      <c r="ALB10" s="353"/>
      <c r="ALC10" s="353"/>
      <c r="ALD10" s="353"/>
      <c r="ALE10" s="353"/>
      <c r="ALF10" s="353"/>
      <c r="ALG10" s="353"/>
      <c r="ALH10" s="353"/>
      <c r="ALI10" s="353"/>
      <c r="ALJ10" s="353"/>
      <c r="ALK10" s="353"/>
      <c r="ALL10" s="353"/>
      <c r="ALM10" s="353"/>
      <c r="ALN10" s="353"/>
      <c r="ALO10" s="353"/>
      <c r="ALP10" s="353"/>
      <c r="ALQ10" s="353"/>
      <c r="ALR10" s="353"/>
      <c r="ALS10" s="353"/>
      <c r="ALT10" s="353"/>
      <c r="ALU10" s="353"/>
      <c r="ALV10" s="353"/>
      <c r="ALW10" s="353"/>
      <c r="ALX10" s="353"/>
      <c r="ALY10" s="353"/>
      <c r="ALZ10" s="353"/>
      <c r="AMA10" s="353"/>
      <c r="AMB10" s="353"/>
      <c r="AMC10" s="353"/>
      <c r="AMD10" s="353"/>
      <c r="AME10" s="353"/>
      <c r="AMF10" s="353"/>
      <c r="AMG10" s="353"/>
      <c r="AMH10" s="353"/>
      <c r="AMI10" s="353"/>
      <c r="AMJ10" s="353"/>
      <c r="AMK10" s="353"/>
      <c r="AML10" s="353"/>
      <c r="AMM10" s="353"/>
      <c r="AMN10" s="353"/>
      <c r="AMO10" s="353"/>
      <c r="AMP10" s="353"/>
    </row>
    <row r="11" spans="1:1030" s="354" customFormat="1" ht="27.6" hidden="1" customHeight="1" x14ac:dyDescent="0.2">
      <c r="C11" s="347"/>
      <c r="D11" s="347"/>
      <c r="E11" s="300"/>
      <c r="F11" s="379" t="s">
        <v>248</v>
      </c>
      <c r="G11" s="380"/>
      <c r="H11" s="368"/>
      <c r="I11" s="368"/>
      <c r="J11" s="368"/>
      <c r="K11" s="368"/>
      <c r="L11" s="368"/>
      <c r="M11" s="368"/>
      <c r="N11" s="369"/>
      <c r="O11" s="369"/>
      <c r="P11" s="382"/>
      <c r="Q11" s="370"/>
      <c r="R11" s="383" t="e">
        <v>#N/A</v>
      </c>
      <c r="S11" s="384"/>
      <c r="T11" s="383"/>
      <c r="U11" s="370"/>
      <c r="V11" s="370"/>
      <c r="W11" s="370"/>
      <c r="X11" s="370"/>
      <c r="Y11" s="370"/>
      <c r="Z11" s="370"/>
      <c r="AA11" s="370"/>
      <c r="AB11" s="370"/>
      <c r="AC11" s="370"/>
      <c r="AD11" s="370"/>
      <c r="AE11" s="370"/>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c r="ED11" s="353"/>
      <c r="EE11" s="353"/>
      <c r="EF11" s="353"/>
      <c r="EG11" s="353"/>
      <c r="EH11" s="353"/>
      <c r="EI11" s="353"/>
      <c r="EJ11" s="353"/>
      <c r="EK11" s="353"/>
      <c r="EL11" s="353"/>
      <c r="EM11" s="353"/>
      <c r="EN11" s="353"/>
      <c r="EO11" s="353"/>
      <c r="EP11" s="353"/>
      <c r="EQ11" s="353"/>
      <c r="ER11" s="353"/>
      <c r="ES11" s="353"/>
      <c r="ET11" s="353"/>
      <c r="EU11" s="353"/>
      <c r="EV11" s="353"/>
      <c r="EW11" s="353"/>
      <c r="EX11" s="353"/>
      <c r="EY11" s="353"/>
      <c r="EZ11" s="353"/>
      <c r="FA11" s="353"/>
      <c r="FB11" s="353"/>
      <c r="FC11" s="353"/>
      <c r="FD11" s="353"/>
      <c r="FE11" s="353"/>
      <c r="FF11" s="353"/>
      <c r="FG11" s="353"/>
      <c r="FH11" s="353"/>
      <c r="FI11" s="353"/>
      <c r="FJ11" s="353"/>
      <c r="FK11" s="353"/>
      <c r="FL11" s="353"/>
      <c r="FM11" s="353"/>
      <c r="FN11" s="353"/>
      <c r="FO11" s="353"/>
      <c r="FP11" s="353"/>
      <c r="FQ11" s="353"/>
      <c r="FR11" s="353"/>
      <c r="FS11" s="353"/>
      <c r="FT11" s="353"/>
      <c r="FU11" s="353"/>
      <c r="FV11" s="353"/>
      <c r="FW11" s="353"/>
      <c r="FX11" s="353"/>
      <c r="FY11" s="353"/>
      <c r="FZ11" s="353"/>
      <c r="GA11" s="353"/>
      <c r="GB11" s="353"/>
      <c r="GC11" s="353"/>
      <c r="GD11" s="353"/>
      <c r="GE11" s="353"/>
      <c r="GF11" s="353"/>
      <c r="GG11" s="353"/>
      <c r="GH11" s="353"/>
      <c r="GI11" s="353"/>
      <c r="GJ11" s="353"/>
      <c r="GK11" s="353"/>
      <c r="GL11" s="353"/>
      <c r="GM11" s="353"/>
      <c r="GN11" s="353"/>
      <c r="GO11" s="353"/>
      <c r="GP11" s="353"/>
      <c r="GQ11" s="353"/>
      <c r="GR11" s="353"/>
      <c r="GS11" s="353"/>
      <c r="GT11" s="353"/>
      <c r="GU11" s="353"/>
      <c r="GV11" s="353"/>
      <c r="GW11" s="353"/>
      <c r="GX11" s="353"/>
      <c r="GY11" s="353"/>
      <c r="GZ11" s="353"/>
      <c r="HA11" s="353"/>
      <c r="HB11" s="353"/>
      <c r="HC11" s="353"/>
      <c r="HD11" s="353"/>
      <c r="HE11" s="353"/>
      <c r="HF11" s="353"/>
      <c r="HG11" s="353"/>
      <c r="HH11" s="353"/>
      <c r="HI11" s="353"/>
      <c r="HJ11" s="353"/>
      <c r="HK11" s="353"/>
      <c r="HL11" s="353"/>
      <c r="HM11" s="353"/>
      <c r="HN11" s="353"/>
      <c r="HO11" s="353"/>
      <c r="HP11" s="353"/>
      <c r="HQ11" s="353"/>
      <c r="HR11" s="353"/>
      <c r="HS11" s="353"/>
      <c r="HT11" s="353"/>
      <c r="HU11" s="353"/>
      <c r="HV11" s="353"/>
      <c r="HW11" s="353"/>
      <c r="HX11" s="353"/>
      <c r="HY11" s="353"/>
      <c r="HZ11" s="353"/>
      <c r="IA11" s="353"/>
      <c r="IB11" s="353"/>
      <c r="IC11" s="353"/>
      <c r="ID11" s="353"/>
      <c r="IE11" s="353"/>
      <c r="IF11" s="353"/>
      <c r="IG11" s="353"/>
      <c r="IH11" s="353"/>
      <c r="II11" s="353"/>
      <c r="IJ11" s="353"/>
      <c r="IK11" s="353"/>
      <c r="IL11" s="353"/>
      <c r="IM11" s="353"/>
      <c r="IN11" s="353"/>
      <c r="IO11" s="353"/>
      <c r="IP11" s="353"/>
      <c r="IQ11" s="353"/>
      <c r="IR11" s="353"/>
      <c r="IS11" s="353"/>
      <c r="IT11" s="353"/>
      <c r="IU11" s="353"/>
      <c r="IV11" s="353"/>
      <c r="IW11" s="353"/>
      <c r="IX11" s="353"/>
      <c r="IY11" s="353"/>
      <c r="IZ11" s="353"/>
      <c r="JA11" s="353"/>
      <c r="JB11" s="353"/>
      <c r="JC11" s="353"/>
      <c r="JD11" s="353"/>
      <c r="JE11" s="353"/>
      <c r="JF11" s="353"/>
      <c r="JG11" s="353"/>
      <c r="JH11" s="353"/>
      <c r="JI11" s="353"/>
      <c r="JJ11" s="353"/>
      <c r="JK11" s="353"/>
      <c r="JL11" s="353"/>
      <c r="JM11" s="353"/>
      <c r="JN11" s="353"/>
      <c r="JO11" s="353"/>
      <c r="JP11" s="353"/>
      <c r="JQ11" s="353"/>
      <c r="JR11" s="353"/>
      <c r="JS11" s="353"/>
      <c r="JT11" s="353"/>
      <c r="JU11" s="353"/>
      <c r="JV11" s="353"/>
      <c r="JW11" s="353"/>
      <c r="JX11" s="353"/>
      <c r="JY11" s="353"/>
      <c r="JZ11" s="353"/>
      <c r="KA11" s="353"/>
      <c r="KB11" s="353"/>
      <c r="KC11" s="353"/>
      <c r="KD11" s="353"/>
      <c r="KE11" s="353"/>
      <c r="KF11" s="353"/>
      <c r="KG11" s="353"/>
      <c r="KH11" s="353"/>
      <c r="KI11" s="353"/>
      <c r="KJ11" s="353"/>
      <c r="KK11" s="353"/>
      <c r="KL11" s="353"/>
      <c r="KM11" s="353"/>
      <c r="KN11" s="353"/>
      <c r="KO11" s="353"/>
      <c r="KP11" s="353"/>
      <c r="KQ11" s="353"/>
      <c r="KR11" s="353"/>
      <c r="KS11" s="353"/>
      <c r="KT11" s="353"/>
      <c r="KU11" s="353"/>
      <c r="KV11" s="353"/>
      <c r="KW11" s="353"/>
      <c r="KX11" s="353"/>
      <c r="KY11" s="353"/>
      <c r="KZ11" s="353"/>
      <c r="LA11" s="353"/>
      <c r="LB11" s="353"/>
      <c r="LC11" s="353"/>
      <c r="LD11" s="353"/>
      <c r="LE11" s="353"/>
      <c r="LF11" s="353"/>
      <c r="LG11" s="353"/>
      <c r="LH11" s="353"/>
      <c r="LI11" s="353"/>
      <c r="LJ11" s="353"/>
      <c r="LK11" s="353"/>
      <c r="LL11" s="353"/>
      <c r="LM11" s="353"/>
      <c r="LN11" s="353"/>
      <c r="LO11" s="353"/>
      <c r="LP11" s="353"/>
      <c r="LQ11" s="353"/>
      <c r="LR11" s="353"/>
      <c r="LS11" s="353"/>
      <c r="LT11" s="353"/>
      <c r="LU11" s="353"/>
      <c r="LV11" s="353"/>
      <c r="LW11" s="353"/>
      <c r="LX11" s="353"/>
      <c r="LY11" s="353"/>
      <c r="LZ11" s="353"/>
      <c r="MA11" s="353"/>
      <c r="MB11" s="353"/>
      <c r="MC11" s="353"/>
      <c r="MD11" s="353"/>
      <c r="ME11" s="353"/>
      <c r="MF11" s="353"/>
      <c r="MG11" s="353"/>
      <c r="MH11" s="353"/>
      <c r="MI11" s="353"/>
      <c r="MJ11" s="353"/>
      <c r="MK11" s="353"/>
      <c r="ML11" s="353"/>
      <c r="MM11" s="353"/>
      <c r="MN11" s="353"/>
      <c r="MO11" s="353"/>
      <c r="MP11" s="353"/>
      <c r="MQ11" s="353"/>
      <c r="MR11" s="353"/>
      <c r="MS11" s="353"/>
      <c r="MT11" s="353"/>
      <c r="MU11" s="353"/>
      <c r="MV11" s="353"/>
      <c r="MW11" s="353"/>
      <c r="MX11" s="353"/>
      <c r="MY11" s="353"/>
      <c r="MZ11" s="353"/>
      <c r="NA11" s="353"/>
      <c r="NB11" s="353"/>
      <c r="NC11" s="353"/>
      <c r="ND11" s="353"/>
      <c r="NE11" s="353"/>
      <c r="NF11" s="353"/>
      <c r="NG11" s="353"/>
      <c r="NH11" s="353"/>
      <c r="NI11" s="353"/>
      <c r="NJ11" s="353"/>
      <c r="NK11" s="353"/>
      <c r="NL11" s="353"/>
      <c r="NM11" s="353"/>
      <c r="NN11" s="353"/>
      <c r="NO11" s="353"/>
      <c r="NP11" s="353"/>
      <c r="NQ11" s="353"/>
      <c r="NR11" s="353"/>
      <c r="NS11" s="353"/>
      <c r="NT11" s="353"/>
      <c r="NU11" s="353"/>
      <c r="NV11" s="353"/>
      <c r="NW11" s="353"/>
      <c r="NX11" s="353"/>
      <c r="NY11" s="353"/>
      <c r="NZ11" s="353"/>
      <c r="OA11" s="353"/>
      <c r="OB11" s="353"/>
      <c r="OC11" s="353"/>
      <c r="OD11" s="353"/>
      <c r="OE11" s="353"/>
      <c r="OF11" s="353"/>
      <c r="OG11" s="353"/>
      <c r="OH11" s="353"/>
      <c r="OI11" s="353"/>
      <c r="OJ11" s="353"/>
      <c r="OK11" s="353"/>
      <c r="OL11" s="353"/>
      <c r="OM11" s="353"/>
      <c r="ON11" s="353"/>
      <c r="OO11" s="353"/>
      <c r="OP11" s="353"/>
      <c r="OQ11" s="353"/>
      <c r="OR11" s="353"/>
      <c r="OS11" s="353"/>
      <c r="OT11" s="353"/>
      <c r="OU11" s="353"/>
      <c r="OV11" s="353"/>
      <c r="OW11" s="353"/>
      <c r="OX11" s="353"/>
      <c r="OY11" s="353"/>
      <c r="OZ11" s="353"/>
      <c r="PA11" s="353"/>
      <c r="PB11" s="353"/>
      <c r="PC11" s="353"/>
      <c r="PD11" s="353"/>
      <c r="PE11" s="353"/>
      <c r="PF11" s="353"/>
      <c r="PG11" s="353"/>
      <c r="PH11" s="353"/>
      <c r="PI11" s="353"/>
      <c r="PJ11" s="353"/>
      <c r="PK11" s="353"/>
      <c r="PL11" s="353"/>
      <c r="PM11" s="353"/>
      <c r="PN11" s="353"/>
      <c r="PO11" s="353"/>
      <c r="PP11" s="353"/>
      <c r="PQ11" s="353"/>
      <c r="PR11" s="353"/>
      <c r="PS11" s="353"/>
      <c r="PT11" s="353"/>
      <c r="PU11" s="353"/>
      <c r="PV11" s="353"/>
      <c r="PW11" s="353"/>
      <c r="PX11" s="353"/>
      <c r="PY11" s="353"/>
      <c r="PZ11" s="353"/>
      <c r="QA11" s="353"/>
      <c r="QB11" s="353"/>
      <c r="QC11" s="353"/>
      <c r="QD11" s="353"/>
      <c r="QE11" s="353"/>
      <c r="QF11" s="353"/>
      <c r="QG11" s="353"/>
      <c r="QH11" s="353"/>
      <c r="QI11" s="353"/>
      <c r="QJ11" s="353"/>
      <c r="QK11" s="353"/>
      <c r="QL11" s="353"/>
      <c r="QM11" s="353"/>
      <c r="QN11" s="353"/>
      <c r="QO11" s="353"/>
      <c r="QP11" s="353"/>
      <c r="QQ11" s="353"/>
      <c r="QR11" s="353"/>
      <c r="QS11" s="353"/>
      <c r="QT11" s="353"/>
      <c r="QU11" s="353"/>
      <c r="QV11" s="353"/>
      <c r="QW11" s="353"/>
      <c r="QX11" s="353"/>
      <c r="QY11" s="353"/>
      <c r="QZ11" s="353"/>
      <c r="RA11" s="353"/>
      <c r="RB11" s="353"/>
      <c r="RC11" s="353"/>
      <c r="RD11" s="353"/>
      <c r="RE11" s="353"/>
      <c r="RF11" s="353"/>
      <c r="RG11" s="353"/>
      <c r="RH11" s="353"/>
      <c r="RI11" s="353"/>
      <c r="RJ11" s="353"/>
      <c r="RK11" s="353"/>
      <c r="RL11" s="353"/>
      <c r="RM11" s="353"/>
      <c r="RN11" s="353"/>
      <c r="RO11" s="353"/>
      <c r="RP11" s="353"/>
      <c r="RQ11" s="353"/>
      <c r="RR11" s="353"/>
      <c r="RS11" s="353"/>
      <c r="RT11" s="353"/>
      <c r="RU11" s="353"/>
      <c r="RV11" s="353"/>
      <c r="RW11" s="353"/>
      <c r="RX11" s="353"/>
      <c r="RY11" s="353"/>
      <c r="RZ11" s="353"/>
      <c r="SA11" s="353"/>
      <c r="SB11" s="353"/>
      <c r="SC11" s="353"/>
      <c r="SD11" s="353"/>
      <c r="SE11" s="353"/>
      <c r="SF11" s="353"/>
      <c r="SG11" s="353"/>
      <c r="SH11" s="353"/>
      <c r="SI11" s="353"/>
      <c r="SJ11" s="353"/>
      <c r="SK11" s="353"/>
      <c r="SL11" s="353"/>
      <c r="SM11" s="353"/>
      <c r="SN11" s="353"/>
      <c r="SO11" s="353"/>
      <c r="SP11" s="353"/>
      <c r="SQ11" s="353"/>
      <c r="SR11" s="353"/>
      <c r="SS11" s="353"/>
      <c r="ST11" s="353"/>
      <c r="SU11" s="353"/>
      <c r="SV11" s="353"/>
      <c r="SW11" s="353"/>
      <c r="SX11" s="353"/>
      <c r="SY11" s="353"/>
      <c r="SZ11" s="353"/>
      <c r="TA11" s="353"/>
      <c r="TB11" s="353"/>
      <c r="TC11" s="353"/>
      <c r="TD11" s="353"/>
      <c r="TE11" s="353"/>
      <c r="TF11" s="353"/>
      <c r="TG11" s="353"/>
      <c r="TH11" s="353"/>
      <c r="TI11" s="353"/>
      <c r="TJ11" s="353"/>
      <c r="TK11" s="353"/>
      <c r="TL11" s="353"/>
      <c r="TM11" s="353"/>
      <c r="TN11" s="353"/>
      <c r="TO11" s="353"/>
      <c r="TP11" s="353"/>
      <c r="TQ11" s="353"/>
      <c r="TR11" s="353"/>
      <c r="TS11" s="353"/>
      <c r="TT11" s="353"/>
      <c r="TU11" s="353"/>
      <c r="TV11" s="353"/>
      <c r="TW11" s="353"/>
      <c r="TX11" s="353"/>
      <c r="TY11" s="353"/>
      <c r="TZ11" s="353"/>
      <c r="UA11" s="353"/>
      <c r="UB11" s="353"/>
      <c r="UC11" s="353"/>
      <c r="UD11" s="353"/>
      <c r="UE11" s="353"/>
      <c r="UF11" s="353"/>
      <c r="UG11" s="353"/>
      <c r="UH11" s="353"/>
      <c r="UI11" s="353"/>
      <c r="UJ11" s="353"/>
      <c r="UK11" s="353"/>
      <c r="UL11" s="353"/>
      <c r="UM11" s="353"/>
      <c r="UN11" s="353"/>
      <c r="UO11" s="353"/>
      <c r="UP11" s="353"/>
      <c r="UQ11" s="353"/>
      <c r="UR11" s="353"/>
      <c r="US11" s="353"/>
      <c r="UT11" s="353"/>
      <c r="UU11" s="353"/>
      <c r="UV11" s="353"/>
      <c r="UW11" s="353"/>
      <c r="UX11" s="353"/>
      <c r="UY11" s="353"/>
      <c r="UZ11" s="353"/>
      <c r="VA11" s="353"/>
      <c r="VB11" s="353"/>
      <c r="VC11" s="353"/>
      <c r="VD11" s="353"/>
      <c r="VE11" s="353"/>
      <c r="VF11" s="353"/>
      <c r="VG11" s="353"/>
      <c r="VH11" s="353"/>
      <c r="VI11" s="353"/>
      <c r="VJ11" s="353"/>
      <c r="VK11" s="353"/>
      <c r="VL11" s="353"/>
      <c r="VM11" s="353"/>
      <c r="VN11" s="353"/>
      <c r="VO11" s="353"/>
      <c r="VP11" s="353"/>
      <c r="VQ11" s="353"/>
      <c r="VR11" s="353"/>
      <c r="VS11" s="353"/>
      <c r="VT11" s="353"/>
      <c r="VU11" s="353"/>
      <c r="VV11" s="353"/>
      <c r="VW11" s="353"/>
      <c r="VX11" s="353"/>
      <c r="VY11" s="353"/>
      <c r="VZ11" s="353"/>
      <c r="WA11" s="353"/>
      <c r="WB11" s="353"/>
      <c r="WC11" s="353"/>
      <c r="WD11" s="353"/>
      <c r="WE11" s="353"/>
      <c r="WF11" s="353"/>
      <c r="WG11" s="353"/>
      <c r="WH11" s="353"/>
      <c r="WI11" s="353"/>
      <c r="WJ11" s="353"/>
      <c r="WK11" s="353"/>
      <c r="WL11" s="353"/>
      <c r="WM11" s="353"/>
      <c r="WN11" s="353"/>
      <c r="WO11" s="353"/>
      <c r="WP11" s="353"/>
      <c r="WQ11" s="353"/>
      <c r="WR11" s="353"/>
      <c r="WS11" s="353"/>
      <c r="WT11" s="353"/>
      <c r="WU11" s="353"/>
      <c r="WV11" s="353"/>
      <c r="WW11" s="353"/>
      <c r="WX11" s="353"/>
      <c r="WY11" s="353"/>
      <c r="WZ11" s="353"/>
      <c r="XA11" s="353"/>
      <c r="XB11" s="353"/>
      <c r="XC11" s="353"/>
      <c r="XD11" s="353"/>
      <c r="XE11" s="353"/>
      <c r="XF11" s="353"/>
      <c r="XG11" s="353"/>
      <c r="XH11" s="353"/>
      <c r="XI11" s="353"/>
      <c r="XJ11" s="353"/>
      <c r="XK11" s="353"/>
      <c r="XL11" s="353"/>
      <c r="XM11" s="353"/>
      <c r="XN11" s="353"/>
      <c r="XO11" s="353"/>
      <c r="XP11" s="353"/>
      <c r="XQ11" s="353"/>
      <c r="XR11" s="353"/>
      <c r="XS11" s="353"/>
      <c r="XT11" s="353"/>
      <c r="XU11" s="353"/>
      <c r="XV11" s="353"/>
      <c r="XW11" s="353"/>
      <c r="XX11" s="353"/>
      <c r="XY11" s="353"/>
      <c r="XZ11" s="353"/>
      <c r="YA11" s="353"/>
      <c r="YB11" s="353"/>
      <c r="YC11" s="353"/>
      <c r="YD11" s="353"/>
      <c r="YE11" s="353"/>
      <c r="YF11" s="353"/>
      <c r="YG11" s="353"/>
      <c r="YH11" s="353"/>
      <c r="YI11" s="353"/>
      <c r="YJ11" s="353"/>
      <c r="YK11" s="353"/>
      <c r="YL11" s="353"/>
      <c r="YM11" s="353"/>
      <c r="YN11" s="353"/>
      <c r="YO11" s="353"/>
      <c r="YP11" s="353"/>
      <c r="YQ11" s="353"/>
      <c r="YR11" s="353"/>
      <c r="YS11" s="353"/>
      <c r="YT11" s="353"/>
      <c r="YU11" s="353"/>
      <c r="YV11" s="353"/>
      <c r="YW11" s="353"/>
      <c r="YX11" s="353"/>
      <c r="YY11" s="353"/>
      <c r="YZ11" s="353"/>
      <c r="ZA11" s="353"/>
      <c r="ZB11" s="353"/>
      <c r="ZC11" s="353"/>
      <c r="ZD11" s="353"/>
      <c r="ZE11" s="353"/>
      <c r="ZF11" s="353"/>
      <c r="ZG11" s="353"/>
      <c r="ZH11" s="353"/>
      <c r="ZI11" s="353"/>
      <c r="ZJ11" s="353"/>
      <c r="ZK11" s="353"/>
      <c r="ZL11" s="353"/>
      <c r="ZM11" s="353"/>
      <c r="ZN11" s="353"/>
      <c r="ZO11" s="353"/>
      <c r="ZP11" s="353"/>
      <c r="ZQ11" s="353"/>
      <c r="ZR11" s="353"/>
      <c r="ZS11" s="353"/>
      <c r="ZT11" s="353"/>
      <c r="ZU11" s="353"/>
      <c r="ZV11" s="353"/>
      <c r="ZW11" s="353"/>
      <c r="ZX11" s="353"/>
      <c r="ZY11" s="353"/>
      <c r="ZZ11" s="353"/>
      <c r="AAA11" s="353"/>
      <c r="AAB11" s="353"/>
      <c r="AAC11" s="353"/>
      <c r="AAD11" s="353"/>
      <c r="AAE11" s="353"/>
      <c r="AAF11" s="353"/>
      <c r="AAG11" s="353"/>
      <c r="AAH11" s="353"/>
      <c r="AAI11" s="353"/>
      <c r="AAJ11" s="353"/>
      <c r="AAK11" s="353"/>
      <c r="AAL11" s="353"/>
      <c r="AAM11" s="353"/>
      <c r="AAN11" s="353"/>
      <c r="AAO11" s="353"/>
      <c r="AAP11" s="353"/>
      <c r="AAQ11" s="353"/>
      <c r="AAR11" s="353"/>
      <c r="AAS11" s="353"/>
      <c r="AAT11" s="353"/>
      <c r="AAU11" s="353"/>
      <c r="AAV11" s="353"/>
      <c r="AAW11" s="353"/>
      <c r="AAX11" s="353"/>
      <c r="AAY11" s="353"/>
      <c r="AAZ11" s="353"/>
      <c r="ABA11" s="353"/>
      <c r="ABB11" s="353"/>
      <c r="ABC11" s="353"/>
      <c r="ABD11" s="353"/>
      <c r="ABE11" s="353"/>
      <c r="ABF11" s="353"/>
      <c r="ABG11" s="353"/>
      <c r="ABH11" s="353"/>
      <c r="ABI11" s="353"/>
      <c r="ABJ11" s="353"/>
      <c r="ABK11" s="353"/>
      <c r="ABL11" s="353"/>
      <c r="ABM11" s="353"/>
      <c r="ABN11" s="353"/>
      <c r="ABO11" s="353"/>
      <c r="ABP11" s="353"/>
      <c r="ABQ11" s="353"/>
      <c r="ABR11" s="353"/>
      <c r="ABS11" s="353"/>
      <c r="ABT11" s="353"/>
      <c r="ABU11" s="353"/>
      <c r="ABV11" s="353"/>
      <c r="ABW11" s="353"/>
      <c r="ABX11" s="353"/>
      <c r="ABY11" s="353"/>
      <c r="ABZ11" s="353"/>
      <c r="ACA11" s="353"/>
      <c r="ACB11" s="353"/>
      <c r="ACC11" s="353"/>
      <c r="ACD11" s="353"/>
      <c r="ACE11" s="353"/>
      <c r="ACF11" s="353"/>
      <c r="ACG11" s="353"/>
      <c r="ACH11" s="353"/>
      <c r="ACI11" s="353"/>
      <c r="ACJ11" s="353"/>
      <c r="ACK11" s="353"/>
      <c r="ACL11" s="353"/>
      <c r="ACM11" s="353"/>
      <c r="ACN11" s="353"/>
      <c r="ACO11" s="353"/>
      <c r="ACP11" s="353"/>
      <c r="ACQ11" s="353"/>
      <c r="ACR11" s="353"/>
      <c r="ACS11" s="353"/>
      <c r="ACT11" s="353"/>
      <c r="ACU11" s="353"/>
      <c r="ACV11" s="353"/>
      <c r="ACW11" s="353"/>
      <c r="ACX11" s="353"/>
      <c r="ACY11" s="353"/>
      <c r="ACZ11" s="353"/>
      <c r="ADA11" s="353"/>
      <c r="ADB11" s="353"/>
      <c r="ADC11" s="353"/>
      <c r="ADD11" s="353"/>
      <c r="ADE11" s="353"/>
      <c r="ADF11" s="353"/>
      <c r="ADG11" s="353"/>
      <c r="ADH11" s="353"/>
      <c r="ADI11" s="353"/>
      <c r="ADJ11" s="353"/>
      <c r="ADK11" s="353"/>
      <c r="ADL11" s="353"/>
      <c r="ADM11" s="353"/>
      <c r="ADN11" s="353"/>
      <c r="ADO11" s="353"/>
      <c r="ADP11" s="353"/>
      <c r="ADQ11" s="353"/>
      <c r="ADR11" s="353"/>
      <c r="ADS11" s="353"/>
      <c r="ADT11" s="353"/>
      <c r="ADU11" s="353"/>
      <c r="ADV11" s="353"/>
      <c r="ADW11" s="353"/>
      <c r="ADX11" s="353"/>
      <c r="ADY11" s="353"/>
      <c r="ADZ11" s="353"/>
      <c r="AEA11" s="353"/>
      <c r="AEB11" s="353"/>
      <c r="AEC11" s="353"/>
      <c r="AED11" s="353"/>
      <c r="AEE11" s="353"/>
      <c r="AEF11" s="353"/>
      <c r="AEG11" s="353"/>
      <c r="AEH11" s="353"/>
      <c r="AEI11" s="353"/>
      <c r="AEJ11" s="353"/>
      <c r="AEK11" s="353"/>
      <c r="AEL11" s="353"/>
      <c r="AEM11" s="353"/>
      <c r="AEN11" s="353"/>
      <c r="AEO11" s="353"/>
      <c r="AEP11" s="353"/>
      <c r="AEQ11" s="353"/>
      <c r="AER11" s="353"/>
      <c r="AES11" s="353"/>
      <c r="AET11" s="353"/>
      <c r="AEU11" s="353"/>
      <c r="AEV11" s="353"/>
      <c r="AEW11" s="353"/>
      <c r="AEX11" s="353"/>
      <c r="AEY11" s="353"/>
      <c r="AEZ11" s="353"/>
      <c r="AFA11" s="353"/>
      <c r="AFB11" s="353"/>
      <c r="AFC11" s="353"/>
      <c r="AFD11" s="353"/>
      <c r="AFE11" s="353"/>
      <c r="AFF11" s="353"/>
      <c r="AFG11" s="353"/>
      <c r="AFH11" s="353"/>
      <c r="AFI11" s="353"/>
      <c r="AFJ11" s="353"/>
      <c r="AFK11" s="353"/>
      <c r="AFL11" s="353"/>
      <c r="AFM11" s="353"/>
      <c r="AFN11" s="353"/>
      <c r="AFO11" s="353"/>
      <c r="AFP11" s="353"/>
      <c r="AFQ11" s="353"/>
      <c r="AFR11" s="353"/>
      <c r="AFS11" s="353"/>
      <c r="AFT11" s="353"/>
      <c r="AFU11" s="353"/>
      <c r="AFV11" s="353"/>
      <c r="AFW11" s="353"/>
      <c r="AFX11" s="353"/>
      <c r="AFY11" s="353"/>
      <c r="AFZ11" s="353"/>
      <c r="AGA11" s="353"/>
      <c r="AGB11" s="353"/>
      <c r="AGC11" s="353"/>
      <c r="AGD11" s="353"/>
      <c r="AGE11" s="353"/>
      <c r="AGF11" s="353"/>
      <c r="AGG11" s="353"/>
      <c r="AGH11" s="353"/>
      <c r="AGI11" s="353"/>
      <c r="AGJ11" s="353"/>
      <c r="AGK11" s="353"/>
      <c r="AGL11" s="353"/>
      <c r="AGM11" s="353"/>
      <c r="AGN11" s="353"/>
      <c r="AGO11" s="353"/>
      <c r="AGP11" s="353"/>
      <c r="AGQ11" s="353"/>
      <c r="AGR11" s="353"/>
      <c r="AGS11" s="353"/>
      <c r="AGT11" s="353"/>
      <c r="AGU11" s="353"/>
      <c r="AGV11" s="353"/>
      <c r="AGW11" s="353"/>
      <c r="AGX11" s="353"/>
      <c r="AGY11" s="353"/>
      <c r="AGZ11" s="353"/>
      <c r="AHA11" s="353"/>
      <c r="AHB11" s="353"/>
      <c r="AHC11" s="353"/>
      <c r="AHD11" s="353"/>
      <c r="AHE11" s="353"/>
      <c r="AHF11" s="353"/>
      <c r="AHG11" s="353"/>
      <c r="AHH11" s="353"/>
      <c r="AHI11" s="353"/>
      <c r="AHJ11" s="353"/>
      <c r="AHK11" s="353"/>
      <c r="AHL11" s="353"/>
      <c r="AHM11" s="353"/>
      <c r="AHN11" s="353"/>
      <c r="AHO11" s="353"/>
      <c r="AHP11" s="353"/>
      <c r="AHQ11" s="353"/>
      <c r="AHR11" s="353"/>
      <c r="AHS11" s="353"/>
      <c r="AHT11" s="353"/>
      <c r="AHU11" s="353"/>
      <c r="AHV11" s="353"/>
      <c r="AHW11" s="353"/>
      <c r="AHX11" s="353"/>
      <c r="AHY11" s="353"/>
      <c r="AHZ11" s="353"/>
      <c r="AIA11" s="353"/>
      <c r="AIB11" s="353"/>
      <c r="AIC11" s="353"/>
      <c r="AID11" s="353"/>
      <c r="AIE11" s="353"/>
      <c r="AIF11" s="353"/>
      <c r="AIG11" s="353"/>
      <c r="AIH11" s="353"/>
      <c r="AII11" s="353"/>
      <c r="AIJ11" s="353"/>
      <c r="AIK11" s="353"/>
      <c r="AIL11" s="353"/>
      <c r="AIM11" s="353"/>
      <c r="AIN11" s="353"/>
      <c r="AIO11" s="353"/>
      <c r="AIP11" s="353"/>
      <c r="AIQ11" s="353"/>
      <c r="AIR11" s="353"/>
      <c r="AIS11" s="353"/>
      <c r="AIT11" s="353"/>
      <c r="AIU11" s="353"/>
      <c r="AIV11" s="353"/>
      <c r="AIW11" s="353"/>
      <c r="AIX11" s="353"/>
      <c r="AIY11" s="353"/>
      <c r="AIZ11" s="353"/>
      <c r="AJA11" s="353"/>
      <c r="AJB11" s="353"/>
      <c r="AJC11" s="353"/>
      <c r="AJD11" s="353"/>
      <c r="AJE11" s="353"/>
      <c r="AJF11" s="353"/>
      <c r="AJG11" s="353"/>
      <c r="AJH11" s="353"/>
      <c r="AJI11" s="353"/>
      <c r="AJJ11" s="353"/>
      <c r="AJK11" s="353"/>
      <c r="AJL11" s="353"/>
      <c r="AJM11" s="353"/>
      <c r="AJN11" s="353"/>
      <c r="AJO11" s="353"/>
      <c r="AJP11" s="353"/>
      <c r="AJQ11" s="353"/>
      <c r="AJR11" s="353"/>
      <c r="AJS11" s="353"/>
      <c r="AJT11" s="353"/>
      <c r="AJU11" s="353"/>
      <c r="AJV11" s="353"/>
      <c r="AJW11" s="353"/>
      <c r="AJX11" s="353"/>
      <c r="AJY11" s="353"/>
      <c r="AJZ11" s="353"/>
      <c r="AKA11" s="353"/>
      <c r="AKB11" s="353"/>
      <c r="AKC11" s="353"/>
      <c r="AKD11" s="353"/>
      <c r="AKE11" s="353"/>
      <c r="AKF11" s="353"/>
      <c r="AKG11" s="353"/>
      <c r="AKH11" s="353"/>
      <c r="AKI11" s="353"/>
      <c r="AKJ11" s="353"/>
      <c r="AKK11" s="353"/>
      <c r="AKL11" s="353"/>
      <c r="AKM11" s="353"/>
      <c r="AKN11" s="353"/>
      <c r="AKO11" s="353"/>
      <c r="AKP11" s="353"/>
      <c r="AKQ11" s="353"/>
      <c r="AKR11" s="353"/>
      <c r="AKS11" s="353"/>
      <c r="AKT11" s="353"/>
      <c r="AKU11" s="353"/>
      <c r="AKV11" s="353"/>
      <c r="AKW11" s="353"/>
      <c r="AKX11" s="353"/>
      <c r="AKY11" s="353"/>
      <c r="AKZ11" s="353"/>
      <c r="ALA11" s="353"/>
      <c r="ALB11" s="353"/>
      <c r="ALC11" s="353"/>
      <c r="ALD11" s="353"/>
      <c r="ALE11" s="353"/>
      <c r="ALF11" s="353"/>
      <c r="ALG11" s="353"/>
      <c r="ALH11" s="353"/>
      <c r="ALI11" s="353"/>
      <c r="ALJ11" s="353"/>
      <c r="ALK11" s="353"/>
      <c r="ALL11" s="353"/>
      <c r="ALM11" s="353"/>
      <c r="ALN11" s="353"/>
      <c r="ALO11" s="353"/>
      <c r="ALP11" s="353"/>
      <c r="ALQ11" s="353"/>
      <c r="ALR11" s="353"/>
      <c r="ALS11" s="353"/>
      <c r="ALT11" s="353"/>
      <c r="ALU11" s="353"/>
      <c r="ALV11" s="353"/>
      <c r="ALW11" s="353"/>
      <c r="ALX11" s="353"/>
      <c r="ALY11" s="353"/>
      <c r="ALZ11" s="353"/>
      <c r="AMA11" s="353"/>
      <c r="AMB11" s="353"/>
      <c r="AMC11" s="353"/>
      <c r="AMD11" s="353"/>
      <c r="AME11" s="353"/>
      <c r="AMF11" s="353"/>
      <c r="AMG11" s="353"/>
      <c r="AMH11" s="353"/>
      <c r="AMI11" s="353"/>
      <c r="AMJ11" s="353"/>
      <c r="AMK11" s="353"/>
      <c r="AML11" s="353"/>
      <c r="AMM11" s="353"/>
      <c r="AMN11" s="353"/>
      <c r="AMO11" s="353"/>
      <c r="AMP11" s="353"/>
    </row>
    <row r="12" spans="1:1030" s="354" customFormat="1" ht="53.45" customHeight="1" thickBot="1" x14ac:dyDescent="0.3">
      <c r="C12" s="386"/>
      <c r="D12" s="386"/>
      <c r="E12" s="387"/>
      <c r="F12" s="379"/>
      <c r="G12" s="388"/>
      <c r="H12" s="383"/>
      <c r="I12" s="383"/>
      <c r="J12" s="383"/>
      <c r="K12" s="383"/>
      <c r="L12" s="383"/>
      <c r="M12" s="383"/>
      <c r="N12" s="383"/>
      <c r="O12" s="383"/>
      <c r="P12" s="383"/>
      <c r="Q12" s="383" t="s">
        <v>249</v>
      </c>
      <c r="R12" s="383" t="s">
        <v>250</v>
      </c>
      <c r="S12" s="383"/>
      <c r="T12" s="383" t="s">
        <v>251</v>
      </c>
      <c r="U12" s="383" t="s">
        <v>252</v>
      </c>
      <c r="V12" s="383" t="s">
        <v>253</v>
      </c>
      <c r="W12" s="383"/>
      <c r="X12" s="383"/>
      <c r="Y12" s="383" t="s">
        <v>254</v>
      </c>
      <c r="Z12" s="383" t="s">
        <v>255</v>
      </c>
      <c r="AA12" s="383" t="s">
        <v>256</v>
      </c>
      <c r="AB12" s="383"/>
      <c r="AC12" s="383"/>
      <c r="AD12" s="390" t="s">
        <v>257</v>
      </c>
      <c r="AE12" s="390"/>
      <c r="AF12" s="390" t="s">
        <v>258</v>
      </c>
      <c r="AG12" s="391"/>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353"/>
      <c r="DP12" s="353"/>
      <c r="DQ12" s="353"/>
      <c r="DR12" s="353"/>
      <c r="DS12" s="353"/>
      <c r="DT12" s="353"/>
      <c r="DU12" s="353"/>
      <c r="DV12" s="353"/>
      <c r="DW12" s="353"/>
      <c r="DX12" s="353"/>
      <c r="DY12" s="353"/>
      <c r="DZ12" s="353"/>
      <c r="EA12" s="353"/>
      <c r="EB12" s="353"/>
      <c r="EC12" s="353"/>
      <c r="ED12" s="353"/>
      <c r="EE12" s="353"/>
      <c r="EF12" s="353"/>
      <c r="EG12" s="353"/>
      <c r="EH12" s="353"/>
      <c r="EI12" s="353"/>
      <c r="EJ12" s="353"/>
      <c r="EK12" s="353"/>
      <c r="EL12" s="353"/>
      <c r="EM12" s="353"/>
      <c r="EN12" s="353"/>
      <c r="EO12" s="353"/>
      <c r="EP12" s="353"/>
      <c r="EQ12" s="353"/>
      <c r="ER12" s="353"/>
      <c r="ES12" s="353"/>
      <c r="ET12" s="353"/>
      <c r="EU12" s="353"/>
      <c r="EV12" s="353"/>
      <c r="EW12" s="353"/>
      <c r="EX12" s="353"/>
      <c r="EY12" s="353"/>
      <c r="EZ12" s="353"/>
      <c r="FA12" s="353"/>
      <c r="FB12" s="353"/>
      <c r="FC12" s="353"/>
      <c r="FD12" s="353"/>
      <c r="FE12" s="353"/>
      <c r="FF12" s="353"/>
      <c r="FG12" s="353"/>
      <c r="FH12" s="353"/>
      <c r="FI12" s="353"/>
      <c r="FJ12" s="353"/>
      <c r="FK12" s="353"/>
      <c r="FL12" s="353"/>
      <c r="FM12" s="353"/>
      <c r="FN12" s="353"/>
      <c r="FO12" s="353"/>
      <c r="FP12" s="353"/>
      <c r="FQ12" s="353"/>
      <c r="FR12" s="353"/>
      <c r="FS12" s="353"/>
      <c r="FT12" s="353"/>
      <c r="FU12" s="353"/>
      <c r="FV12" s="353"/>
      <c r="FW12" s="353"/>
      <c r="FX12" s="353"/>
      <c r="FY12" s="353"/>
      <c r="FZ12" s="353"/>
      <c r="GA12" s="353"/>
      <c r="GB12" s="353"/>
      <c r="GC12" s="353"/>
      <c r="GD12" s="353"/>
      <c r="GE12" s="353"/>
      <c r="GF12" s="353"/>
      <c r="GG12" s="353"/>
      <c r="GH12" s="353"/>
      <c r="GI12" s="353"/>
      <c r="GJ12" s="353"/>
      <c r="GK12" s="353"/>
      <c r="GL12" s="353"/>
      <c r="GM12" s="353"/>
      <c r="GN12" s="353"/>
      <c r="GO12" s="353"/>
      <c r="GP12" s="353"/>
      <c r="GQ12" s="353"/>
      <c r="GR12" s="353"/>
      <c r="GS12" s="353"/>
      <c r="GT12" s="353"/>
      <c r="GU12" s="353"/>
      <c r="GV12" s="353"/>
      <c r="GW12" s="353"/>
      <c r="GX12" s="353"/>
      <c r="GY12" s="353"/>
      <c r="GZ12" s="353"/>
      <c r="HA12" s="353"/>
      <c r="HB12" s="353"/>
      <c r="HC12" s="353"/>
      <c r="HD12" s="353"/>
      <c r="HE12" s="353"/>
      <c r="HF12" s="353"/>
      <c r="HG12" s="353"/>
      <c r="HH12" s="353"/>
      <c r="HI12" s="353"/>
      <c r="HJ12" s="353"/>
      <c r="HK12" s="353"/>
      <c r="HL12" s="353"/>
      <c r="HM12" s="353"/>
      <c r="HN12" s="353"/>
      <c r="HO12" s="353"/>
      <c r="HP12" s="353"/>
      <c r="HQ12" s="353"/>
      <c r="HR12" s="353"/>
      <c r="HS12" s="353"/>
      <c r="HT12" s="353"/>
      <c r="HU12" s="353"/>
      <c r="HV12" s="353"/>
      <c r="HW12" s="353"/>
      <c r="HX12" s="353"/>
      <c r="HY12" s="353"/>
      <c r="HZ12" s="353"/>
      <c r="IA12" s="353"/>
      <c r="IB12" s="353"/>
      <c r="IC12" s="353"/>
      <c r="ID12" s="353"/>
      <c r="IE12" s="353"/>
      <c r="IF12" s="353"/>
      <c r="IG12" s="353"/>
      <c r="IH12" s="353"/>
      <c r="II12" s="353"/>
      <c r="IJ12" s="353"/>
      <c r="IK12" s="353"/>
      <c r="IL12" s="353"/>
      <c r="IM12" s="353"/>
      <c r="IN12" s="353"/>
      <c r="IO12" s="353"/>
      <c r="IP12" s="353"/>
      <c r="IQ12" s="353"/>
      <c r="IR12" s="353"/>
      <c r="IS12" s="353"/>
      <c r="IT12" s="353"/>
      <c r="IU12" s="353"/>
      <c r="IV12" s="353"/>
      <c r="IW12" s="353"/>
      <c r="IX12" s="353"/>
      <c r="IY12" s="353"/>
      <c r="IZ12" s="353"/>
      <c r="JA12" s="353"/>
      <c r="JB12" s="353"/>
      <c r="JC12" s="353"/>
      <c r="JD12" s="353"/>
      <c r="JE12" s="353"/>
      <c r="JF12" s="353"/>
      <c r="JG12" s="353"/>
      <c r="JH12" s="353"/>
      <c r="JI12" s="353"/>
      <c r="JJ12" s="353"/>
      <c r="JK12" s="353"/>
      <c r="JL12" s="353"/>
      <c r="JM12" s="353"/>
      <c r="JN12" s="353"/>
      <c r="JO12" s="353"/>
      <c r="JP12" s="353"/>
      <c r="JQ12" s="353"/>
      <c r="JR12" s="353"/>
      <c r="JS12" s="353"/>
      <c r="JT12" s="353"/>
      <c r="JU12" s="353"/>
      <c r="JV12" s="353"/>
      <c r="JW12" s="353"/>
      <c r="JX12" s="353"/>
      <c r="JY12" s="353"/>
      <c r="JZ12" s="353"/>
      <c r="KA12" s="353"/>
      <c r="KB12" s="353"/>
      <c r="KC12" s="353"/>
      <c r="KD12" s="353"/>
      <c r="KE12" s="353"/>
      <c r="KF12" s="353"/>
      <c r="KG12" s="353"/>
      <c r="KH12" s="353"/>
      <c r="KI12" s="353"/>
      <c r="KJ12" s="353"/>
      <c r="KK12" s="353"/>
      <c r="KL12" s="353"/>
      <c r="KM12" s="353"/>
      <c r="KN12" s="353"/>
      <c r="KO12" s="353"/>
      <c r="KP12" s="353"/>
      <c r="KQ12" s="353"/>
      <c r="KR12" s="353"/>
      <c r="KS12" s="353"/>
      <c r="KT12" s="353"/>
      <c r="KU12" s="353"/>
      <c r="KV12" s="353"/>
      <c r="KW12" s="353"/>
      <c r="KX12" s="353"/>
      <c r="KY12" s="353"/>
      <c r="KZ12" s="353"/>
      <c r="LA12" s="353"/>
      <c r="LB12" s="353"/>
      <c r="LC12" s="353"/>
      <c r="LD12" s="353"/>
      <c r="LE12" s="353"/>
      <c r="LF12" s="353"/>
      <c r="LG12" s="353"/>
      <c r="LH12" s="353"/>
      <c r="LI12" s="353"/>
      <c r="LJ12" s="353"/>
      <c r="LK12" s="353"/>
      <c r="LL12" s="353"/>
      <c r="LM12" s="353"/>
      <c r="LN12" s="353"/>
      <c r="LO12" s="353"/>
      <c r="LP12" s="353"/>
      <c r="LQ12" s="353"/>
      <c r="LR12" s="353"/>
      <c r="LS12" s="353"/>
      <c r="LT12" s="353"/>
      <c r="LU12" s="353"/>
      <c r="LV12" s="353"/>
      <c r="LW12" s="353"/>
      <c r="LX12" s="353"/>
      <c r="LY12" s="353"/>
      <c r="LZ12" s="353"/>
      <c r="MA12" s="353"/>
      <c r="MB12" s="353"/>
      <c r="MC12" s="353"/>
      <c r="MD12" s="353"/>
      <c r="ME12" s="353"/>
      <c r="MF12" s="353"/>
      <c r="MG12" s="353"/>
      <c r="MH12" s="353"/>
      <c r="MI12" s="353"/>
      <c r="MJ12" s="353"/>
      <c r="MK12" s="353"/>
      <c r="ML12" s="353"/>
      <c r="MM12" s="353"/>
      <c r="MN12" s="353"/>
      <c r="MO12" s="353"/>
      <c r="MP12" s="353"/>
      <c r="MQ12" s="353"/>
      <c r="MR12" s="353"/>
      <c r="MS12" s="353"/>
      <c r="MT12" s="353"/>
      <c r="MU12" s="353"/>
      <c r="MV12" s="353"/>
      <c r="MW12" s="353"/>
      <c r="MX12" s="353"/>
      <c r="MY12" s="353"/>
      <c r="MZ12" s="353"/>
      <c r="NA12" s="353"/>
      <c r="NB12" s="353"/>
      <c r="NC12" s="353"/>
      <c r="ND12" s="353"/>
      <c r="NE12" s="353"/>
      <c r="NF12" s="353"/>
      <c r="NG12" s="353"/>
      <c r="NH12" s="353"/>
      <c r="NI12" s="353"/>
      <c r="NJ12" s="353"/>
      <c r="NK12" s="353"/>
      <c r="NL12" s="353"/>
      <c r="NM12" s="353"/>
      <c r="NN12" s="353"/>
      <c r="NO12" s="353"/>
      <c r="NP12" s="353"/>
      <c r="NQ12" s="353"/>
      <c r="NR12" s="353"/>
      <c r="NS12" s="353"/>
      <c r="NT12" s="353"/>
      <c r="NU12" s="353"/>
      <c r="NV12" s="353"/>
      <c r="NW12" s="353"/>
      <c r="NX12" s="353"/>
      <c r="NY12" s="353"/>
      <c r="NZ12" s="353"/>
      <c r="OA12" s="353"/>
      <c r="OB12" s="353"/>
      <c r="OC12" s="353"/>
      <c r="OD12" s="353"/>
      <c r="OE12" s="353"/>
      <c r="OF12" s="353"/>
      <c r="OG12" s="353"/>
      <c r="OH12" s="353"/>
      <c r="OI12" s="353"/>
      <c r="OJ12" s="353"/>
      <c r="OK12" s="353"/>
      <c r="OL12" s="353"/>
      <c r="OM12" s="353"/>
      <c r="ON12" s="353"/>
      <c r="OO12" s="353"/>
      <c r="OP12" s="353"/>
      <c r="OQ12" s="353"/>
      <c r="OR12" s="353"/>
      <c r="OS12" s="353"/>
      <c r="OT12" s="353"/>
      <c r="OU12" s="353"/>
      <c r="OV12" s="353"/>
      <c r="OW12" s="353"/>
      <c r="OX12" s="353"/>
      <c r="OY12" s="353"/>
      <c r="OZ12" s="353"/>
      <c r="PA12" s="353"/>
      <c r="PB12" s="353"/>
      <c r="PC12" s="353"/>
      <c r="PD12" s="353"/>
      <c r="PE12" s="353"/>
      <c r="PF12" s="353"/>
      <c r="PG12" s="353"/>
      <c r="PH12" s="353"/>
      <c r="PI12" s="353"/>
      <c r="PJ12" s="353"/>
      <c r="PK12" s="353"/>
      <c r="PL12" s="353"/>
      <c r="PM12" s="353"/>
      <c r="PN12" s="353"/>
      <c r="PO12" s="353"/>
      <c r="PP12" s="353"/>
      <c r="PQ12" s="353"/>
      <c r="PR12" s="353"/>
      <c r="PS12" s="353"/>
      <c r="PT12" s="353"/>
      <c r="PU12" s="353"/>
      <c r="PV12" s="353"/>
      <c r="PW12" s="353"/>
      <c r="PX12" s="353"/>
      <c r="PY12" s="353"/>
      <c r="PZ12" s="353"/>
      <c r="QA12" s="353"/>
      <c r="QB12" s="353"/>
      <c r="QC12" s="353"/>
      <c r="QD12" s="353"/>
      <c r="QE12" s="353"/>
      <c r="QF12" s="353"/>
      <c r="QG12" s="353"/>
      <c r="QH12" s="353"/>
      <c r="QI12" s="353"/>
      <c r="QJ12" s="353"/>
      <c r="QK12" s="353"/>
      <c r="QL12" s="353"/>
      <c r="QM12" s="353"/>
      <c r="QN12" s="353"/>
      <c r="QO12" s="353"/>
      <c r="QP12" s="353"/>
      <c r="QQ12" s="353"/>
      <c r="QR12" s="353"/>
      <c r="QS12" s="353"/>
      <c r="QT12" s="353"/>
      <c r="QU12" s="353"/>
      <c r="QV12" s="353"/>
      <c r="QW12" s="353"/>
      <c r="QX12" s="353"/>
      <c r="QY12" s="353"/>
      <c r="QZ12" s="353"/>
      <c r="RA12" s="353"/>
      <c r="RB12" s="353"/>
      <c r="RC12" s="353"/>
      <c r="RD12" s="353"/>
      <c r="RE12" s="353"/>
      <c r="RF12" s="353"/>
      <c r="RG12" s="353"/>
      <c r="RH12" s="353"/>
      <c r="RI12" s="353"/>
      <c r="RJ12" s="353"/>
      <c r="RK12" s="353"/>
      <c r="RL12" s="353"/>
      <c r="RM12" s="353"/>
      <c r="RN12" s="353"/>
      <c r="RO12" s="353"/>
      <c r="RP12" s="353"/>
      <c r="RQ12" s="353"/>
      <c r="RR12" s="353"/>
      <c r="RS12" s="353"/>
      <c r="RT12" s="353"/>
      <c r="RU12" s="353"/>
      <c r="RV12" s="353"/>
      <c r="RW12" s="353"/>
      <c r="RX12" s="353"/>
      <c r="RY12" s="353"/>
      <c r="RZ12" s="353"/>
      <c r="SA12" s="353"/>
      <c r="SB12" s="353"/>
      <c r="SC12" s="353"/>
      <c r="SD12" s="353"/>
      <c r="SE12" s="353"/>
      <c r="SF12" s="353"/>
      <c r="SG12" s="353"/>
      <c r="SH12" s="353"/>
      <c r="SI12" s="353"/>
      <c r="SJ12" s="353"/>
      <c r="SK12" s="353"/>
      <c r="SL12" s="353"/>
      <c r="SM12" s="353"/>
      <c r="SN12" s="353"/>
      <c r="SO12" s="353"/>
      <c r="SP12" s="353"/>
      <c r="SQ12" s="353"/>
      <c r="SR12" s="353"/>
      <c r="SS12" s="353"/>
      <c r="ST12" s="353"/>
      <c r="SU12" s="353"/>
      <c r="SV12" s="353"/>
      <c r="SW12" s="353"/>
      <c r="SX12" s="353"/>
      <c r="SY12" s="353"/>
      <c r="SZ12" s="353"/>
      <c r="TA12" s="353"/>
      <c r="TB12" s="353"/>
      <c r="TC12" s="353"/>
      <c r="TD12" s="353"/>
      <c r="TE12" s="353"/>
      <c r="TF12" s="353"/>
      <c r="TG12" s="353"/>
      <c r="TH12" s="353"/>
      <c r="TI12" s="353"/>
      <c r="TJ12" s="353"/>
      <c r="TK12" s="353"/>
      <c r="TL12" s="353"/>
      <c r="TM12" s="353"/>
      <c r="TN12" s="353"/>
      <c r="TO12" s="353"/>
      <c r="TP12" s="353"/>
      <c r="TQ12" s="353"/>
      <c r="TR12" s="353"/>
      <c r="TS12" s="353"/>
      <c r="TT12" s="353"/>
      <c r="TU12" s="353"/>
      <c r="TV12" s="353"/>
      <c r="TW12" s="353"/>
      <c r="TX12" s="353"/>
      <c r="TY12" s="353"/>
      <c r="TZ12" s="353"/>
      <c r="UA12" s="353"/>
      <c r="UB12" s="353"/>
      <c r="UC12" s="353"/>
      <c r="UD12" s="353"/>
      <c r="UE12" s="353"/>
      <c r="UF12" s="353"/>
      <c r="UG12" s="353"/>
      <c r="UH12" s="353"/>
      <c r="UI12" s="353"/>
      <c r="UJ12" s="353"/>
      <c r="UK12" s="353"/>
      <c r="UL12" s="353"/>
      <c r="UM12" s="353"/>
      <c r="UN12" s="353"/>
      <c r="UO12" s="353"/>
      <c r="UP12" s="353"/>
      <c r="UQ12" s="353"/>
      <c r="UR12" s="353"/>
      <c r="US12" s="353"/>
      <c r="UT12" s="353"/>
      <c r="UU12" s="353"/>
      <c r="UV12" s="353"/>
      <c r="UW12" s="353"/>
      <c r="UX12" s="353"/>
      <c r="UY12" s="353"/>
      <c r="UZ12" s="353"/>
      <c r="VA12" s="353"/>
      <c r="VB12" s="353"/>
      <c r="VC12" s="353"/>
      <c r="VD12" s="353"/>
      <c r="VE12" s="353"/>
      <c r="VF12" s="353"/>
      <c r="VG12" s="353"/>
      <c r="VH12" s="353"/>
      <c r="VI12" s="353"/>
      <c r="VJ12" s="353"/>
      <c r="VK12" s="353"/>
      <c r="VL12" s="353"/>
      <c r="VM12" s="353"/>
      <c r="VN12" s="353"/>
      <c r="VO12" s="353"/>
      <c r="VP12" s="353"/>
      <c r="VQ12" s="353"/>
      <c r="VR12" s="353"/>
      <c r="VS12" s="353"/>
      <c r="VT12" s="353"/>
      <c r="VU12" s="353"/>
      <c r="VV12" s="353"/>
      <c r="VW12" s="353"/>
      <c r="VX12" s="353"/>
      <c r="VY12" s="353"/>
      <c r="VZ12" s="353"/>
      <c r="WA12" s="353"/>
      <c r="WB12" s="353"/>
      <c r="WC12" s="353"/>
      <c r="WD12" s="353"/>
      <c r="WE12" s="353"/>
      <c r="WF12" s="353"/>
      <c r="WG12" s="353"/>
      <c r="WH12" s="353"/>
      <c r="WI12" s="353"/>
      <c r="WJ12" s="353"/>
      <c r="WK12" s="353"/>
      <c r="WL12" s="353"/>
      <c r="WM12" s="353"/>
      <c r="WN12" s="353"/>
      <c r="WO12" s="353"/>
      <c r="WP12" s="353"/>
      <c r="WQ12" s="353"/>
      <c r="WR12" s="353"/>
      <c r="WS12" s="353"/>
      <c r="WT12" s="353"/>
      <c r="WU12" s="353"/>
      <c r="WV12" s="353"/>
      <c r="WW12" s="353"/>
      <c r="WX12" s="353"/>
      <c r="WY12" s="353"/>
      <c r="WZ12" s="353"/>
      <c r="XA12" s="353"/>
      <c r="XB12" s="353"/>
      <c r="XC12" s="353"/>
      <c r="XD12" s="353"/>
      <c r="XE12" s="353"/>
      <c r="XF12" s="353"/>
      <c r="XG12" s="353"/>
      <c r="XH12" s="353"/>
      <c r="XI12" s="353"/>
      <c r="XJ12" s="353"/>
      <c r="XK12" s="353"/>
      <c r="XL12" s="353"/>
      <c r="XM12" s="353"/>
      <c r="XN12" s="353"/>
      <c r="XO12" s="353"/>
      <c r="XP12" s="353"/>
      <c r="XQ12" s="353"/>
      <c r="XR12" s="353"/>
      <c r="XS12" s="353"/>
      <c r="XT12" s="353"/>
      <c r="XU12" s="353"/>
      <c r="XV12" s="353"/>
      <c r="XW12" s="353"/>
      <c r="XX12" s="353"/>
      <c r="XY12" s="353"/>
      <c r="XZ12" s="353"/>
      <c r="YA12" s="353"/>
      <c r="YB12" s="353"/>
      <c r="YC12" s="353"/>
      <c r="YD12" s="353"/>
      <c r="YE12" s="353"/>
      <c r="YF12" s="353"/>
      <c r="YG12" s="353"/>
      <c r="YH12" s="353"/>
      <c r="YI12" s="353"/>
      <c r="YJ12" s="353"/>
      <c r="YK12" s="353"/>
      <c r="YL12" s="353"/>
      <c r="YM12" s="353"/>
      <c r="YN12" s="353"/>
      <c r="YO12" s="353"/>
      <c r="YP12" s="353"/>
      <c r="YQ12" s="353"/>
      <c r="YR12" s="353"/>
      <c r="YS12" s="353"/>
      <c r="YT12" s="353"/>
      <c r="YU12" s="353"/>
      <c r="YV12" s="353"/>
      <c r="YW12" s="353"/>
      <c r="YX12" s="353"/>
      <c r="YY12" s="353"/>
      <c r="YZ12" s="353"/>
      <c r="ZA12" s="353"/>
      <c r="ZB12" s="353"/>
      <c r="ZC12" s="353"/>
      <c r="ZD12" s="353"/>
      <c r="ZE12" s="353"/>
      <c r="ZF12" s="353"/>
      <c r="ZG12" s="353"/>
      <c r="ZH12" s="353"/>
      <c r="ZI12" s="353"/>
      <c r="ZJ12" s="353"/>
      <c r="ZK12" s="353"/>
      <c r="ZL12" s="353"/>
      <c r="ZM12" s="353"/>
      <c r="ZN12" s="353"/>
      <c r="ZO12" s="353"/>
      <c r="ZP12" s="353"/>
      <c r="ZQ12" s="353"/>
      <c r="ZR12" s="353"/>
      <c r="ZS12" s="353"/>
      <c r="ZT12" s="353"/>
      <c r="ZU12" s="353"/>
      <c r="ZV12" s="353"/>
      <c r="ZW12" s="353"/>
      <c r="ZX12" s="353"/>
      <c r="ZY12" s="353"/>
      <c r="ZZ12" s="353"/>
      <c r="AAA12" s="353"/>
      <c r="AAB12" s="353"/>
      <c r="AAC12" s="353"/>
      <c r="AAD12" s="353"/>
      <c r="AAE12" s="353"/>
      <c r="AAF12" s="353"/>
      <c r="AAG12" s="353"/>
      <c r="AAH12" s="353"/>
      <c r="AAI12" s="353"/>
      <c r="AAJ12" s="353"/>
      <c r="AAK12" s="353"/>
      <c r="AAL12" s="353"/>
      <c r="AAM12" s="353"/>
      <c r="AAN12" s="353"/>
      <c r="AAO12" s="353"/>
      <c r="AAP12" s="353"/>
      <c r="AAQ12" s="353"/>
      <c r="AAR12" s="353"/>
      <c r="AAS12" s="353"/>
      <c r="AAT12" s="353"/>
      <c r="AAU12" s="353"/>
      <c r="AAV12" s="353"/>
      <c r="AAW12" s="353"/>
      <c r="AAX12" s="353"/>
      <c r="AAY12" s="353"/>
      <c r="AAZ12" s="353"/>
      <c r="ABA12" s="353"/>
      <c r="ABB12" s="353"/>
      <c r="ABC12" s="353"/>
      <c r="ABD12" s="353"/>
      <c r="ABE12" s="353"/>
      <c r="ABF12" s="353"/>
      <c r="ABG12" s="353"/>
      <c r="ABH12" s="353"/>
      <c r="ABI12" s="353"/>
      <c r="ABJ12" s="353"/>
      <c r="ABK12" s="353"/>
      <c r="ABL12" s="353"/>
      <c r="ABM12" s="353"/>
      <c r="ABN12" s="353"/>
      <c r="ABO12" s="353"/>
      <c r="ABP12" s="353"/>
      <c r="ABQ12" s="353"/>
      <c r="ABR12" s="353"/>
      <c r="ABS12" s="353"/>
      <c r="ABT12" s="353"/>
      <c r="ABU12" s="353"/>
      <c r="ABV12" s="353"/>
      <c r="ABW12" s="353"/>
      <c r="ABX12" s="353"/>
      <c r="ABY12" s="353"/>
      <c r="ABZ12" s="353"/>
      <c r="ACA12" s="353"/>
      <c r="ACB12" s="353"/>
      <c r="ACC12" s="353"/>
      <c r="ACD12" s="353"/>
      <c r="ACE12" s="353"/>
      <c r="ACF12" s="353"/>
      <c r="ACG12" s="353"/>
      <c r="ACH12" s="353"/>
      <c r="ACI12" s="353"/>
      <c r="ACJ12" s="353"/>
      <c r="ACK12" s="353"/>
      <c r="ACL12" s="353"/>
      <c r="ACM12" s="353"/>
      <c r="ACN12" s="353"/>
      <c r="ACO12" s="353"/>
      <c r="ACP12" s="353"/>
      <c r="ACQ12" s="353"/>
      <c r="ACR12" s="353"/>
      <c r="ACS12" s="353"/>
      <c r="ACT12" s="353"/>
      <c r="ACU12" s="353"/>
      <c r="ACV12" s="353"/>
      <c r="ACW12" s="353"/>
      <c r="ACX12" s="353"/>
      <c r="ACY12" s="353"/>
      <c r="ACZ12" s="353"/>
      <c r="ADA12" s="353"/>
      <c r="ADB12" s="353"/>
      <c r="ADC12" s="353"/>
      <c r="ADD12" s="353"/>
      <c r="ADE12" s="353"/>
      <c r="ADF12" s="353"/>
      <c r="ADG12" s="353"/>
      <c r="ADH12" s="353"/>
      <c r="ADI12" s="353"/>
      <c r="ADJ12" s="353"/>
      <c r="ADK12" s="353"/>
      <c r="ADL12" s="353"/>
      <c r="ADM12" s="353"/>
      <c r="ADN12" s="353"/>
      <c r="ADO12" s="353"/>
      <c r="ADP12" s="353"/>
      <c r="ADQ12" s="353"/>
      <c r="ADR12" s="353"/>
      <c r="ADS12" s="353"/>
      <c r="ADT12" s="353"/>
      <c r="ADU12" s="353"/>
      <c r="ADV12" s="353"/>
      <c r="ADW12" s="353"/>
      <c r="ADX12" s="353"/>
      <c r="ADY12" s="353"/>
      <c r="ADZ12" s="353"/>
      <c r="AEA12" s="353"/>
      <c r="AEB12" s="353"/>
      <c r="AEC12" s="353"/>
      <c r="AED12" s="353"/>
      <c r="AEE12" s="353"/>
      <c r="AEF12" s="353"/>
      <c r="AEG12" s="353"/>
      <c r="AEH12" s="353"/>
      <c r="AEI12" s="353"/>
      <c r="AEJ12" s="353"/>
      <c r="AEK12" s="353"/>
      <c r="AEL12" s="353"/>
      <c r="AEM12" s="353"/>
      <c r="AEN12" s="353"/>
      <c r="AEO12" s="353"/>
      <c r="AEP12" s="353"/>
      <c r="AEQ12" s="353"/>
      <c r="AER12" s="353"/>
      <c r="AES12" s="353"/>
      <c r="AET12" s="353"/>
      <c r="AEU12" s="353"/>
      <c r="AEV12" s="353"/>
      <c r="AEW12" s="353"/>
      <c r="AEX12" s="353"/>
      <c r="AEY12" s="353"/>
      <c r="AEZ12" s="353"/>
      <c r="AFA12" s="353"/>
      <c r="AFB12" s="353"/>
      <c r="AFC12" s="353"/>
      <c r="AFD12" s="353"/>
      <c r="AFE12" s="353"/>
      <c r="AFF12" s="353"/>
      <c r="AFG12" s="353"/>
      <c r="AFH12" s="353"/>
      <c r="AFI12" s="353"/>
      <c r="AFJ12" s="353"/>
      <c r="AFK12" s="353"/>
      <c r="AFL12" s="353"/>
      <c r="AFM12" s="353"/>
      <c r="AFN12" s="353"/>
      <c r="AFO12" s="353"/>
      <c r="AFP12" s="353"/>
      <c r="AFQ12" s="353"/>
      <c r="AFR12" s="353"/>
      <c r="AFS12" s="353"/>
      <c r="AFT12" s="353"/>
      <c r="AFU12" s="353"/>
      <c r="AFV12" s="353"/>
      <c r="AFW12" s="353"/>
      <c r="AFX12" s="353"/>
      <c r="AFY12" s="353"/>
      <c r="AFZ12" s="353"/>
      <c r="AGA12" s="353"/>
      <c r="AGB12" s="353"/>
      <c r="AGC12" s="353"/>
      <c r="AGD12" s="353"/>
      <c r="AGE12" s="353"/>
      <c r="AGF12" s="353"/>
      <c r="AGG12" s="353"/>
      <c r="AGH12" s="353"/>
      <c r="AGI12" s="353"/>
      <c r="AGJ12" s="353"/>
      <c r="AGK12" s="353"/>
      <c r="AGL12" s="353"/>
      <c r="AGM12" s="353"/>
      <c r="AGN12" s="353"/>
      <c r="AGO12" s="353"/>
      <c r="AGP12" s="353"/>
      <c r="AGQ12" s="353"/>
      <c r="AGR12" s="353"/>
      <c r="AGS12" s="353"/>
      <c r="AGT12" s="353"/>
      <c r="AGU12" s="353"/>
      <c r="AGV12" s="353"/>
      <c r="AGW12" s="353"/>
      <c r="AGX12" s="353"/>
      <c r="AGY12" s="353"/>
      <c r="AGZ12" s="353"/>
      <c r="AHA12" s="353"/>
      <c r="AHB12" s="353"/>
      <c r="AHC12" s="353"/>
      <c r="AHD12" s="353"/>
      <c r="AHE12" s="353"/>
      <c r="AHF12" s="353"/>
      <c r="AHG12" s="353"/>
      <c r="AHH12" s="353"/>
      <c r="AHI12" s="353"/>
      <c r="AHJ12" s="353"/>
      <c r="AHK12" s="353"/>
      <c r="AHL12" s="353"/>
      <c r="AHM12" s="353"/>
      <c r="AHN12" s="353"/>
      <c r="AHO12" s="353"/>
      <c r="AHP12" s="353"/>
      <c r="AHQ12" s="353"/>
      <c r="AHR12" s="353"/>
      <c r="AHS12" s="353"/>
      <c r="AHT12" s="353"/>
      <c r="AHU12" s="353"/>
      <c r="AHV12" s="353"/>
      <c r="AHW12" s="353"/>
      <c r="AHX12" s="353"/>
      <c r="AHY12" s="353"/>
      <c r="AHZ12" s="353"/>
      <c r="AIA12" s="353"/>
      <c r="AIB12" s="353"/>
      <c r="AIC12" s="353"/>
      <c r="AID12" s="353"/>
      <c r="AIE12" s="353"/>
      <c r="AIF12" s="353"/>
      <c r="AIG12" s="353"/>
      <c r="AIH12" s="353"/>
      <c r="AII12" s="353"/>
      <c r="AIJ12" s="353"/>
      <c r="AIK12" s="353"/>
      <c r="AIL12" s="353"/>
      <c r="AIM12" s="353"/>
      <c r="AIN12" s="353"/>
      <c r="AIO12" s="353"/>
      <c r="AIP12" s="353"/>
      <c r="AIQ12" s="353"/>
      <c r="AIR12" s="353"/>
      <c r="AIS12" s="353"/>
      <c r="AIT12" s="353"/>
      <c r="AIU12" s="353"/>
      <c r="AIV12" s="353"/>
      <c r="AIW12" s="353"/>
      <c r="AIX12" s="353"/>
      <c r="AIY12" s="353"/>
      <c r="AIZ12" s="353"/>
      <c r="AJA12" s="353"/>
      <c r="AJB12" s="353"/>
      <c r="AJC12" s="353"/>
      <c r="AJD12" s="353"/>
      <c r="AJE12" s="353"/>
      <c r="AJF12" s="353"/>
      <c r="AJG12" s="353"/>
      <c r="AJH12" s="353"/>
      <c r="AJI12" s="353"/>
      <c r="AJJ12" s="353"/>
      <c r="AJK12" s="353"/>
      <c r="AJL12" s="353"/>
      <c r="AJM12" s="353"/>
      <c r="AJN12" s="353"/>
      <c r="AJO12" s="353"/>
      <c r="AJP12" s="353"/>
      <c r="AJQ12" s="353"/>
      <c r="AJR12" s="353"/>
      <c r="AJS12" s="353"/>
      <c r="AJT12" s="353"/>
      <c r="AJU12" s="353"/>
      <c r="AJV12" s="353"/>
      <c r="AJW12" s="353"/>
      <c r="AJX12" s="353"/>
      <c r="AJY12" s="353"/>
      <c r="AJZ12" s="353"/>
      <c r="AKA12" s="353"/>
      <c r="AKB12" s="353"/>
      <c r="AKC12" s="353"/>
      <c r="AKD12" s="353"/>
      <c r="AKE12" s="353"/>
      <c r="AKF12" s="353"/>
      <c r="AKG12" s="353"/>
      <c r="AKH12" s="353"/>
      <c r="AKI12" s="353"/>
      <c r="AKJ12" s="353"/>
      <c r="AKK12" s="353"/>
      <c r="AKL12" s="353"/>
      <c r="AKM12" s="353"/>
      <c r="AKN12" s="353"/>
      <c r="AKO12" s="353"/>
      <c r="AKP12" s="353"/>
      <c r="AKQ12" s="353"/>
      <c r="AKR12" s="353"/>
      <c r="AKS12" s="353"/>
      <c r="AKT12" s="353"/>
      <c r="AKU12" s="353"/>
      <c r="AKV12" s="353"/>
      <c r="AKW12" s="353"/>
      <c r="AKX12" s="353"/>
      <c r="AKY12" s="353"/>
      <c r="AKZ12" s="353"/>
      <c r="ALA12" s="353"/>
      <c r="ALB12" s="353"/>
      <c r="ALC12" s="353"/>
      <c r="ALD12" s="353"/>
      <c r="ALE12" s="353"/>
      <c r="ALF12" s="353"/>
      <c r="ALG12" s="353"/>
      <c r="ALH12" s="353"/>
      <c r="ALI12" s="353"/>
      <c r="ALJ12" s="353"/>
      <c r="ALK12" s="353"/>
      <c r="ALL12" s="353"/>
      <c r="ALM12" s="353"/>
      <c r="ALN12" s="353"/>
      <c r="ALO12" s="353"/>
      <c r="ALP12" s="353"/>
      <c r="ALQ12" s="353"/>
      <c r="ALR12" s="353"/>
      <c r="ALS12" s="353"/>
      <c r="ALT12" s="353"/>
      <c r="ALU12" s="353"/>
      <c r="ALV12" s="353"/>
      <c r="ALW12" s="353"/>
      <c r="ALX12" s="353"/>
      <c r="ALY12" s="353"/>
      <c r="ALZ12" s="353"/>
      <c r="AMA12" s="353"/>
      <c r="AMB12" s="353"/>
      <c r="AMC12" s="353"/>
      <c r="AMD12" s="353"/>
      <c r="AME12" s="353"/>
      <c r="AMF12" s="353"/>
      <c r="AMG12" s="353"/>
      <c r="AMH12" s="353"/>
      <c r="AMI12" s="353"/>
      <c r="AMJ12" s="353"/>
      <c r="AMK12" s="353"/>
      <c r="AML12" s="353"/>
      <c r="AMM12" s="353"/>
      <c r="AMN12" s="353"/>
      <c r="AMO12" s="353"/>
      <c r="AMP12" s="353"/>
    </row>
    <row r="13" spans="1:1030" s="403" customFormat="1" ht="78.75" x14ac:dyDescent="0.25">
      <c r="A13" s="392"/>
      <c r="B13" s="393" t="s">
        <v>259</v>
      </c>
      <c r="C13" s="394" t="str">
        <f>Year&amp;" TPI"</f>
        <v>2023 TPI</v>
      </c>
      <c r="D13" s="395" t="s">
        <v>52</v>
      </c>
      <c r="E13" s="395" t="s">
        <v>260</v>
      </c>
      <c r="F13" s="396" t="s">
        <v>261</v>
      </c>
      <c r="G13" s="396" t="s">
        <v>262</v>
      </c>
      <c r="H13" s="396" t="s">
        <v>10</v>
      </c>
      <c r="I13" s="396" t="s">
        <v>263</v>
      </c>
      <c r="J13" s="396" t="s">
        <v>264</v>
      </c>
      <c r="K13" s="396" t="s">
        <v>265</v>
      </c>
      <c r="L13" s="396" t="s">
        <v>266</v>
      </c>
      <c r="M13" s="396" t="s">
        <v>267</v>
      </c>
      <c r="N13" s="396" t="str">
        <f>Year&amp;" STATE PAYMENT CAP"</f>
        <v>2023 STATE PAYMENT CAP</v>
      </c>
      <c r="O13" s="397" t="s">
        <v>268</v>
      </c>
      <c r="P13" s="396" t="s">
        <v>269</v>
      </c>
      <c r="Q13" s="398" t="s">
        <v>270</v>
      </c>
      <c r="R13" s="398" t="s">
        <v>271</v>
      </c>
      <c r="S13" s="398" t="s">
        <v>272</v>
      </c>
      <c r="T13" s="398" t="s">
        <v>156</v>
      </c>
      <c r="U13" s="398" t="s">
        <v>16</v>
      </c>
      <c r="V13" s="398" t="s">
        <v>273</v>
      </c>
      <c r="W13" s="397" t="s">
        <v>274</v>
      </c>
      <c r="X13" s="397" t="s">
        <v>275</v>
      </c>
      <c r="Y13" s="398" t="str">
        <f>Year&amp;" Final DSH Payment"</f>
        <v>2023 Final DSH Payment</v>
      </c>
      <c r="Z13" s="398" t="str">
        <f>Year&amp;" Final DSH IGT"</f>
        <v>2023 Final DSH IGT</v>
      </c>
      <c r="AA13" s="398" t="s">
        <v>276</v>
      </c>
      <c r="AB13" s="383"/>
      <c r="AC13" s="399" t="s">
        <v>277</v>
      </c>
      <c r="AD13" s="400" t="s">
        <v>278</v>
      </c>
      <c r="AE13" s="400"/>
      <c r="AF13" s="400" t="s">
        <v>279</v>
      </c>
      <c r="AG13" s="400"/>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c r="IW13" s="402"/>
      <c r="IX13" s="402"/>
      <c r="IY13" s="402"/>
      <c r="IZ13" s="402"/>
      <c r="JA13" s="402"/>
      <c r="JB13" s="402"/>
      <c r="JC13" s="402"/>
      <c r="JD13" s="402"/>
      <c r="JE13" s="402"/>
      <c r="JF13" s="402"/>
      <c r="JG13" s="402"/>
      <c r="JH13" s="402"/>
      <c r="JI13" s="402"/>
      <c r="JJ13" s="402"/>
      <c r="JK13" s="402"/>
      <c r="JL13" s="402"/>
      <c r="JM13" s="402"/>
      <c r="JN13" s="402"/>
      <c r="JO13" s="402"/>
      <c r="JP13" s="402"/>
      <c r="JQ13" s="402"/>
      <c r="JR13" s="402"/>
      <c r="JS13" s="402"/>
      <c r="JT13" s="402"/>
      <c r="JU13" s="402"/>
      <c r="JV13" s="402"/>
      <c r="JW13" s="402"/>
      <c r="JX13" s="402"/>
      <c r="JY13" s="402"/>
      <c r="JZ13" s="402"/>
      <c r="KA13" s="402"/>
      <c r="KB13" s="402"/>
      <c r="KC13" s="402"/>
      <c r="KD13" s="402"/>
      <c r="KE13" s="402"/>
      <c r="KF13" s="402"/>
      <c r="KG13" s="402"/>
      <c r="KH13" s="402"/>
      <c r="KI13" s="402"/>
      <c r="KJ13" s="402"/>
      <c r="KK13" s="402"/>
      <c r="KL13" s="402"/>
      <c r="KM13" s="402"/>
      <c r="KN13" s="402"/>
      <c r="KO13" s="402"/>
      <c r="KP13" s="402"/>
      <c r="KQ13" s="402"/>
      <c r="KR13" s="402"/>
      <c r="KS13" s="402"/>
      <c r="KT13" s="402"/>
      <c r="KU13" s="402"/>
      <c r="KV13" s="402"/>
      <c r="KW13" s="402"/>
      <c r="KX13" s="402"/>
      <c r="KY13" s="402"/>
      <c r="KZ13" s="402"/>
      <c r="LA13" s="402"/>
      <c r="LB13" s="402"/>
      <c r="LC13" s="402"/>
      <c r="LD13" s="402"/>
      <c r="LE13" s="402"/>
      <c r="LF13" s="402"/>
      <c r="LG13" s="402"/>
      <c r="LH13" s="402"/>
      <c r="LI13" s="402"/>
      <c r="LJ13" s="402"/>
      <c r="LK13" s="402"/>
      <c r="LL13" s="402"/>
      <c r="LM13" s="402"/>
      <c r="LN13" s="402"/>
      <c r="LO13" s="402"/>
      <c r="LP13" s="402"/>
      <c r="LQ13" s="402"/>
      <c r="LR13" s="402"/>
      <c r="LS13" s="402"/>
      <c r="LT13" s="402"/>
      <c r="LU13" s="402"/>
      <c r="LV13" s="402"/>
      <c r="LW13" s="402"/>
      <c r="LX13" s="402"/>
      <c r="LY13" s="402"/>
      <c r="LZ13" s="402"/>
      <c r="MA13" s="402"/>
      <c r="MB13" s="402"/>
      <c r="MC13" s="402"/>
      <c r="MD13" s="402"/>
      <c r="ME13" s="402"/>
      <c r="MF13" s="402"/>
      <c r="MG13" s="402"/>
      <c r="MH13" s="402"/>
      <c r="MI13" s="402"/>
      <c r="MJ13" s="402"/>
      <c r="MK13" s="402"/>
      <c r="ML13" s="402"/>
      <c r="MM13" s="402"/>
      <c r="MN13" s="402"/>
      <c r="MO13" s="402"/>
      <c r="MP13" s="402"/>
      <c r="MQ13" s="402"/>
      <c r="MR13" s="402"/>
      <c r="MS13" s="402"/>
      <c r="MT13" s="402"/>
      <c r="MU13" s="402"/>
      <c r="MV13" s="402"/>
      <c r="MW13" s="402"/>
      <c r="MX13" s="402"/>
      <c r="MY13" s="402"/>
      <c r="MZ13" s="402"/>
      <c r="NA13" s="402"/>
      <c r="NB13" s="402"/>
      <c r="NC13" s="402"/>
      <c r="ND13" s="402"/>
      <c r="NE13" s="402"/>
      <c r="NF13" s="402"/>
      <c r="NG13" s="402"/>
      <c r="NH13" s="402"/>
      <c r="NI13" s="402"/>
      <c r="NJ13" s="402"/>
      <c r="NK13" s="402"/>
      <c r="NL13" s="402"/>
      <c r="NM13" s="402"/>
      <c r="NN13" s="402"/>
      <c r="NO13" s="402"/>
      <c r="NP13" s="402"/>
      <c r="NQ13" s="402"/>
      <c r="NR13" s="402"/>
      <c r="NS13" s="402"/>
      <c r="NT13" s="402"/>
      <c r="NU13" s="402"/>
      <c r="NV13" s="402"/>
      <c r="NW13" s="402"/>
      <c r="NX13" s="402"/>
      <c r="NY13" s="402"/>
      <c r="NZ13" s="402"/>
      <c r="OA13" s="402"/>
      <c r="OB13" s="402"/>
      <c r="OC13" s="402"/>
      <c r="OD13" s="402"/>
      <c r="OE13" s="402"/>
      <c r="OF13" s="402"/>
      <c r="OG13" s="402"/>
      <c r="OH13" s="402"/>
      <c r="OI13" s="402"/>
      <c r="OJ13" s="402"/>
      <c r="OK13" s="402"/>
      <c r="OL13" s="402"/>
      <c r="OM13" s="402"/>
      <c r="ON13" s="402"/>
      <c r="OO13" s="402"/>
      <c r="OP13" s="402"/>
      <c r="OQ13" s="402"/>
      <c r="OR13" s="402"/>
      <c r="OS13" s="402"/>
      <c r="OT13" s="402"/>
      <c r="OU13" s="402"/>
      <c r="OV13" s="402"/>
      <c r="OW13" s="402"/>
      <c r="OX13" s="402"/>
      <c r="OY13" s="402"/>
      <c r="OZ13" s="402"/>
      <c r="PA13" s="402"/>
      <c r="PB13" s="402"/>
      <c r="PC13" s="402"/>
      <c r="PD13" s="402"/>
      <c r="PE13" s="402"/>
      <c r="PF13" s="402"/>
      <c r="PG13" s="402"/>
      <c r="PH13" s="402"/>
      <c r="PI13" s="402"/>
      <c r="PJ13" s="402"/>
      <c r="PK13" s="402"/>
      <c r="PL13" s="402"/>
      <c r="PM13" s="402"/>
      <c r="PN13" s="402"/>
      <c r="PO13" s="402"/>
      <c r="PP13" s="402"/>
      <c r="PQ13" s="402"/>
      <c r="PR13" s="402"/>
      <c r="PS13" s="402"/>
      <c r="PT13" s="402"/>
      <c r="PU13" s="402"/>
      <c r="PV13" s="402"/>
      <c r="PW13" s="402"/>
      <c r="PX13" s="402"/>
      <c r="PY13" s="402"/>
      <c r="PZ13" s="402"/>
      <c r="QA13" s="402"/>
      <c r="QB13" s="402"/>
      <c r="QC13" s="402"/>
      <c r="QD13" s="402"/>
      <c r="QE13" s="402"/>
      <c r="QF13" s="402"/>
      <c r="QG13" s="402"/>
      <c r="QH13" s="402"/>
      <c r="QI13" s="402"/>
      <c r="QJ13" s="402"/>
      <c r="QK13" s="402"/>
      <c r="QL13" s="402"/>
      <c r="QM13" s="402"/>
      <c r="QN13" s="402"/>
      <c r="QO13" s="402"/>
      <c r="QP13" s="402"/>
      <c r="QQ13" s="402"/>
      <c r="QR13" s="402"/>
      <c r="QS13" s="402"/>
      <c r="QT13" s="402"/>
      <c r="QU13" s="402"/>
      <c r="QV13" s="402"/>
      <c r="QW13" s="402"/>
      <c r="QX13" s="402"/>
      <c r="QY13" s="402"/>
      <c r="QZ13" s="402"/>
      <c r="RA13" s="402"/>
      <c r="RB13" s="402"/>
      <c r="RC13" s="402"/>
      <c r="RD13" s="402"/>
      <c r="RE13" s="402"/>
      <c r="RF13" s="402"/>
      <c r="RG13" s="402"/>
      <c r="RH13" s="402"/>
      <c r="RI13" s="402"/>
      <c r="RJ13" s="402"/>
      <c r="RK13" s="402"/>
      <c r="RL13" s="402"/>
      <c r="RM13" s="402"/>
      <c r="RN13" s="402"/>
      <c r="RO13" s="402"/>
      <c r="RP13" s="402"/>
      <c r="RQ13" s="402"/>
      <c r="RR13" s="402"/>
      <c r="RS13" s="402"/>
      <c r="RT13" s="402"/>
      <c r="RU13" s="402"/>
      <c r="RV13" s="402"/>
      <c r="RW13" s="402"/>
      <c r="RX13" s="402"/>
      <c r="RY13" s="402"/>
      <c r="RZ13" s="402"/>
      <c r="SA13" s="402"/>
      <c r="SB13" s="402"/>
      <c r="SC13" s="402"/>
      <c r="SD13" s="402"/>
      <c r="SE13" s="402"/>
      <c r="SF13" s="402"/>
      <c r="SG13" s="402"/>
      <c r="SH13" s="402"/>
      <c r="SI13" s="402"/>
      <c r="SJ13" s="402"/>
      <c r="SK13" s="402"/>
      <c r="SL13" s="402"/>
      <c r="SM13" s="402"/>
      <c r="SN13" s="402"/>
      <c r="SO13" s="402"/>
      <c r="SP13" s="402"/>
      <c r="SQ13" s="402"/>
      <c r="SR13" s="402"/>
      <c r="SS13" s="402"/>
      <c r="ST13" s="402"/>
      <c r="SU13" s="402"/>
      <c r="SV13" s="402"/>
      <c r="SW13" s="402"/>
      <c r="SX13" s="402"/>
      <c r="SY13" s="402"/>
      <c r="SZ13" s="402"/>
      <c r="TA13" s="402"/>
      <c r="TB13" s="402"/>
      <c r="TC13" s="402"/>
      <c r="TD13" s="402"/>
      <c r="TE13" s="402"/>
      <c r="TF13" s="402"/>
      <c r="TG13" s="402"/>
      <c r="TH13" s="402"/>
      <c r="TI13" s="402"/>
      <c r="TJ13" s="402"/>
      <c r="TK13" s="402"/>
      <c r="TL13" s="402"/>
      <c r="TM13" s="402"/>
      <c r="TN13" s="402"/>
      <c r="TO13" s="402"/>
      <c r="TP13" s="402"/>
      <c r="TQ13" s="402"/>
      <c r="TR13" s="402"/>
      <c r="TS13" s="402"/>
      <c r="TT13" s="402"/>
      <c r="TU13" s="402"/>
      <c r="TV13" s="402"/>
      <c r="TW13" s="402"/>
      <c r="TX13" s="402"/>
      <c r="TY13" s="402"/>
      <c r="TZ13" s="402"/>
      <c r="UA13" s="402"/>
      <c r="UB13" s="402"/>
      <c r="UC13" s="402"/>
      <c r="UD13" s="402"/>
      <c r="UE13" s="402"/>
      <c r="UF13" s="402"/>
      <c r="UG13" s="402"/>
      <c r="UH13" s="402"/>
      <c r="UI13" s="402"/>
      <c r="UJ13" s="402"/>
      <c r="UK13" s="402"/>
      <c r="UL13" s="402"/>
      <c r="UM13" s="402"/>
      <c r="UN13" s="402"/>
      <c r="UO13" s="402"/>
      <c r="UP13" s="402"/>
      <c r="UQ13" s="402"/>
      <c r="UR13" s="402"/>
      <c r="US13" s="402"/>
      <c r="UT13" s="402"/>
      <c r="UU13" s="402"/>
      <c r="UV13" s="402"/>
      <c r="UW13" s="402"/>
      <c r="UX13" s="402"/>
      <c r="UY13" s="402"/>
      <c r="UZ13" s="402"/>
      <c r="VA13" s="402"/>
      <c r="VB13" s="402"/>
      <c r="VC13" s="402"/>
      <c r="VD13" s="402"/>
      <c r="VE13" s="402"/>
      <c r="VF13" s="402"/>
      <c r="VG13" s="402"/>
      <c r="VH13" s="402"/>
      <c r="VI13" s="402"/>
      <c r="VJ13" s="402"/>
      <c r="VK13" s="402"/>
      <c r="VL13" s="402"/>
      <c r="VM13" s="402"/>
      <c r="VN13" s="402"/>
      <c r="VO13" s="402"/>
      <c r="VP13" s="402"/>
      <c r="VQ13" s="402"/>
      <c r="VR13" s="402"/>
      <c r="VS13" s="402"/>
      <c r="VT13" s="402"/>
      <c r="VU13" s="402"/>
      <c r="VV13" s="402"/>
      <c r="VW13" s="402"/>
      <c r="VX13" s="402"/>
      <c r="VY13" s="402"/>
      <c r="VZ13" s="402"/>
      <c r="WA13" s="402"/>
      <c r="WB13" s="402"/>
      <c r="WC13" s="402"/>
      <c r="WD13" s="402"/>
      <c r="WE13" s="402"/>
      <c r="WF13" s="402"/>
      <c r="WG13" s="402"/>
      <c r="WH13" s="402"/>
      <c r="WI13" s="402"/>
      <c r="WJ13" s="402"/>
      <c r="WK13" s="402"/>
      <c r="WL13" s="402"/>
      <c r="WM13" s="402"/>
      <c r="WN13" s="402"/>
      <c r="WO13" s="402"/>
      <c r="WP13" s="402"/>
      <c r="WQ13" s="402"/>
      <c r="WR13" s="402"/>
      <c r="WS13" s="402"/>
      <c r="WT13" s="402"/>
      <c r="WU13" s="402"/>
      <c r="WV13" s="402"/>
      <c r="WW13" s="402"/>
      <c r="WX13" s="402"/>
      <c r="WY13" s="402"/>
      <c r="WZ13" s="402"/>
      <c r="XA13" s="402"/>
      <c r="XB13" s="402"/>
      <c r="XC13" s="402"/>
      <c r="XD13" s="402"/>
      <c r="XE13" s="402"/>
      <c r="XF13" s="402"/>
      <c r="XG13" s="402"/>
      <c r="XH13" s="402"/>
      <c r="XI13" s="402"/>
      <c r="XJ13" s="402"/>
      <c r="XK13" s="402"/>
      <c r="XL13" s="402"/>
      <c r="XM13" s="402"/>
      <c r="XN13" s="402"/>
      <c r="XO13" s="402"/>
      <c r="XP13" s="402"/>
      <c r="XQ13" s="402"/>
      <c r="XR13" s="402"/>
      <c r="XS13" s="402"/>
      <c r="XT13" s="402"/>
      <c r="XU13" s="402"/>
      <c r="XV13" s="402"/>
      <c r="XW13" s="402"/>
      <c r="XX13" s="402"/>
      <c r="XY13" s="402"/>
      <c r="XZ13" s="402"/>
      <c r="YA13" s="402"/>
      <c r="YB13" s="402"/>
      <c r="YC13" s="402"/>
      <c r="YD13" s="402"/>
      <c r="YE13" s="402"/>
      <c r="YF13" s="402"/>
      <c r="YG13" s="402"/>
      <c r="YH13" s="402"/>
      <c r="YI13" s="402"/>
      <c r="YJ13" s="402"/>
      <c r="YK13" s="402"/>
      <c r="YL13" s="402"/>
      <c r="YM13" s="402"/>
      <c r="YN13" s="402"/>
      <c r="YO13" s="402"/>
      <c r="YP13" s="402"/>
      <c r="YQ13" s="402"/>
      <c r="YR13" s="402"/>
      <c r="YS13" s="402"/>
      <c r="YT13" s="402"/>
      <c r="YU13" s="402"/>
      <c r="YV13" s="402"/>
      <c r="YW13" s="402"/>
      <c r="YX13" s="402"/>
      <c r="YY13" s="402"/>
      <c r="YZ13" s="402"/>
      <c r="ZA13" s="402"/>
      <c r="ZB13" s="402"/>
      <c r="ZC13" s="402"/>
      <c r="ZD13" s="402"/>
      <c r="ZE13" s="402"/>
      <c r="ZF13" s="402"/>
      <c r="ZG13" s="402"/>
      <c r="ZH13" s="402"/>
      <c r="ZI13" s="402"/>
      <c r="ZJ13" s="402"/>
      <c r="ZK13" s="402"/>
      <c r="ZL13" s="402"/>
      <c r="ZM13" s="402"/>
      <c r="ZN13" s="402"/>
      <c r="ZO13" s="402"/>
      <c r="ZP13" s="402"/>
      <c r="ZQ13" s="402"/>
      <c r="ZR13" s="402"/>
      <c r="ZS13" s="402"/>
      <c r="ZT13" s="402"/>
      <c r="ZU13" s="402"/>
      <c r="ZV13" s="402"/>
      <c r="ZW13" s="402"/>
      <c r="ZX13" s="402"/>
      <c r="ZY13" s="402"/>
      <c r="ZZ13" s="402"/>
      <c r="AAA13" s="402"/>
      <c r="AAB13" s="402"/>
      <c r="AAC13" s="402"/>
      <c r="AAD13" s="402"/>
      <c r="AAE13" s="402"/>
      <c r="AAF13" s="402"/>
      <c r="AAG13" s="402"/>
      <c r="AAH13" s="402"/>
      <c r="AAI13" s="402"/>
      <c r="AAJ13" s="402"/>
      <c r="AAK13" s="402"/>
      <c r="AAL13" s="402"/>
      <c r="AAM13" s="402"/>
      <c r="AAN13" s="402"/>
      <c r="AAO13" s="402"/>
      <c r="AAP13" s="402"/>
      <c r="AAQ13" s="402"/>
      <c r="AAR13" s="402"/>
      <c r="AAS13" s="402"/>
      <c r="AAT13" s="402"/>
      <c r="AAU13" s="402"/>
      <c r="AAV13" s="402"/>
      <c r="AAW13" s="402"/>
      <c r="AAX13" s="402"/>
      <c r="AAY13" s="402"/>
      <c r="AAZ13" s="402"/>
      <c r="ABA13" s="402"/>
      <c r="ABB13" s="402"/>
      <c r="ABC13" s="402"/>
      <c r="ABD13" s="402"/>
      <c r="ABE13" s="402"/>
      <c r="ABF13" s="402"/>
      <c r="ABG13" s="402"/>
      <c r="ABH13" s="402"/>
      <c r="ABI13" s="402"/>
      <c r="ABJ13" s="402"/>
      <c r="ABK13" s="402"/>
      <c r="ABL13" s="402"/>
      <c r="ABM13" s="402"/>
      <c r="ABN13" s="402"/>
      <c r="ABO13" s="402"/>
      <c r="ABP13" s="402"/>
      <c r="ABQ13" s="402"/>
      <c r="ABR13" s="402"/>
      <c r="ABS13" s="402"/>
      <c r="ABT13" s="402"/>
      <c r="ABU13" s="402"/>
      <c r="ABV13" s="402"/>
      <c r="ABW13" s="402"/>
      <c r="ABX13" s="402"/>
      <c r="ABY13" s="402"/>
      <c r="ABZ13" s="402"/>
      <c r="ACA13" s="402"/>
      <c r="ACB13" s="402"/>
      <c r="ACC13" s="402"/>
      <c r="ACD13" s="402"/>
      <c r="ACE13" s="402"/>
      <c r="ACF13" s="402"/>
      <c r="ACG13" s="402"/>
      <c r="ACH13" s="402"/>
      <c r="ACI13" s="402"/>
      <c r="ACJ13" s="402"/>
      <c r="ACK13" s="402"/>
      <c r="ACL13" s="402"/>
      <c r="ACM13" s="402"/>
      <c r="ACN13" s="402"/>
      <c r="ACO13" s="402"/>
      <c r="ACP13" s="402"/>
      <c r="ACQ13" s="402"/>
      <c r="ACR13" s="402"/>
      <c r="ACS13" s="402"/>
      <c r="ACT13" s="402"/>
      <c r="ACU13" s="402"/>
      <c r="ACV13" s="402"/>
      <c r="ACW13" s="402"/>
      <c r="ACX13" s="402"/>
      <c r="ACY13" s="402"/>
      <c r="ACZ13" s="402"/>
      <c r="ADA13" s="402"/>
      <c r="ADB13" s="402"/>
      <c r="ADC13" s="402"/>
      <c r="ADD13" s="402"/>
      <c r="ADE13" s="402"/>
      <c r="ADF13" s="402"/>
      <c r="ADG13" s="402"/>
      <c r="ADH13" s="402"/>
      <c r="ADI13" s="402"/>
      <c r="ADJ13" s="402"/>
      <c r="ADK13" s="402"/>
      <c r="ADL13" s="402"/>
      <c r="ADM13" s="402"/>
      <c r="ADN13" s="402"/>
      <c r="ADO13" s="402"/>
      <c r="ADP13" s="402"/>
      <c r="ADQ13" s="402"/>
      <c r="ADR13" s="402"/>
      <c r="ADS13" s="402"/>
      <c r="ADT13" s="402"/>
      <c r="ADU13" s="402"/>
      <c r="ADV13" s="402"/>
      <c r="ADW13" s="402"/>
      <c r="ADX13" s="402"/>
      <c r="ADY13" s="402"/>
      <c r="ADZ13" s="402"/>
      <c r="AEA13" s="402"/>
      <c r="AEB13" s="402"/>
      <c r="AEC13" s="402"/>
      <c r="AED13" s="402"/>
      <c r="AEE13" s="402"/>
      <c r="AEF13" s="402"/>
      <c r="AEG13" s="402"/>
      <c r="AEH13" s="402"/>
      <c r="AEI13" s="402"/>
      <c r="AEJ13" s="402"/>
      <c r="AEK13" s="402"/>
      <c r="AEL13" s="402"/>
      <c r="AEM13" s="402"/>
      <c r="AEN13" s="402"/>
      <c r="AEO13" s="402"/>
      <c r="AEP13" s="402"/>
      <c r="AEQ13" s="402"/>
      <c r="AER13" s="402"/>
      <c r="AES13" s="402"/>
      <c r="AET13" s="402"/>
      <c r="AEU13" s="402"/>
      <c r="AEV13" s="402"/>
      <c r="AEW13" s="402"/>
      <c r="AEX13" s="402"/>
      <c r="AEY13" s="402"/>
      <c r="AEZ13" s="402"/>
      <c r="AFA13" s="402"/>
      <c r="AFB13" s="402"/>
      <c r="AFC13" s="402"/>
      <c r="AFD13" s="402"/>
      <c r="AFE13" s="402"/>
      <c r="AFF13" s="402"/>
      <c r="AFG13" s="402"/>
      <c r="AFH13" s="402"/>
      <c r="AFI13" s="402"/>
      <c r="AFJ13" s="402"/>
      <c r="AFK13" s="402"/>
      <c r="AFL13" s="402"/>
      <c r="AFM13" s="402"/>
      <c r="AFN13" s="402"/>
      <c r="AFO13" s="402"/>
      <c r="AFP13" s="402"/>
      <c r="AFQ13" s="402"/>
      <c r="AFR13" s="402"/>
      <c r="AFS13" s="402"/>
      <c r="AFT13" s="402"/>
      <c r="AFU13" s="402"/>
      <c r="AFV13" s="402"/>
      <c r="AFW13" s="402"/>
      <c r="AFX13" s="402"/>
      <c r="AFY13" s="402"/>
      <c r="AFZ13" s="402"/>
      <c r="AGA13" s="402"/>
      <c r="AGB13" s="402"/>
      <c r="AGC13" s="402"/>
      <c r="AGD13" s="402"/>
      <c r="AGE13" s="402"/>
      <c r="AGF13" s="402"/>
      <c r="AGG13" s="402"/>
      <c r="AGH13" s="402"/>
      <c r="AGI13" s="402"/>
      <c r="AGJ13" s="402"/>
      <c r="AGK13" s="402"/>
      <c r="AGL13" s="402"/>
      <c r="AGM13" s="402"/>
      <c r="AGN13" s="402"/>
      <c r="AGO13" s="402"/>
      <c r="AGP13" s="402"/>
      <c r="AGQ13" s="402"/>
      <c r="AGR13" s="402"/>
      <c r="AGS13" s="402"/>
      <c r="AGT13" s="402"/>
      <c r="AGU13" s="402"/>
      <c r="AGV13" s="402"/>
      <c r="AGW13" s="402"/>
      <c r="AGX13" s="402"/>
      <c r="AGY13" s="402"/>
      <c r="AGZ13" s="402"/>
      <c r="AHA13" s="402"/>
      <c r="AHB13" s="402"/>
      <c r="AHC13" s="402"/>
      <c r="AHD13" s="402"/>
      <c r="AHE13" s="402"/>
      <c r="AHF13" s="402"/>
      <c r="AHG13" s="402"/>
      <c r="AHH13" s="402"/>
      <c r="AHI13" s="402"/>
      <c r="AHJ13" s="402"/>
      <c r="AHK13" s="402"/>
      <c r="AHL13" s="402"/>
      <c r="AHM13" s="402"/>
      <c r="AHN13" s="402"/>
      <c r="AHO13" s="402"/>
      <c r="AHP13" s="402"/>
      <c r="AHQ13" s="402"/>
      <c r="AHR13" s="402"/>
      <c r="AHS13" s="402"/>
      <c r="AHT13" s="402"/>
      <c r="AHU13" s="402"/>
      <c r="AHV13" s="402"/>
      <c r="AHW13" s="402"/>
      <c r="AHX13" s="402"/>
      <c r="AHY13" s="402"/>
      <c r="AHZ13" s="402"/>
      <c r="AIA13" s="402"/>
      <c r="AIB13" s="402"/>
      <c r="AIC13" s="402"/>
      <c r="AID13" s="402"/>
      <c r="AIE13" s="402"/>
      <c r="AIF13" s="402"/>
      <c r="AIG13" s="402"/>
      <c r="AIH13" s="402"/>
      <c r="AII13" s="402"/>
      <c r="AIJ13" s="402"/>
      <c r="AIK13" s="402"/>
      <c r="AIL13" s="402"/>
      <c r="AIM13" s="402"/>
      <c r="AIN13" s="402"/>
      <c r="AIO13" s="402"/>
      <c r="AIP13" s="402"/>
      <c r="AIQ13" s="402"/>
      <c r="AIR13" s="402"/>
      <c r="AIS13" s="402"/>
      <c r="AIT13" s="402"/>
      <c r="AIU13" s="402"/>
      <c r="AIV13" s="402"/>
      <c r="AIW13" s="402"/>
      <c r="AIX13" s="402"/>
      <c r="AIY13" s="402"/>
      <c r="AIZ13" s="402"/>
      <c r="AJA13" s="402"/>
      <c r="AJB13" s="402"/>
      <c r="AJC13" s="402"/>
      <c r="AJD13" s="402"/>
      <c r="AJE13" s="402"/>
      <c r="AJF13" s="402"/>
      <c r="AJG13" s="402"/>
      <c r="AJH13" s="402"/>
      <c r="AJI13" s="402"/>
      <c r="AJJ13" s="402"/>
      <c r="AJK13" s="402"/>
      <c r="AJL13" s="402"/>
      <c r="AJM13" s="402"/>
      <c r="AJN13" s="402"/>
      <c r="AJO13" s="402"/>
      <c r="AJP13" s="402"/>
      <c r="AJQ13" s="402"/>
      <c r="AJR13" s="402"/>
      <c r="AJS13" s="402"/>
      <c r="AJT13" s="402"/>
      <c r="AJU13" s="402"/>
      <c r="AJV13" s="402"/>
      <c r="AJW13" s="402"/>
      <c r="AJX13" s="402"/>
      <c r="AJY13" s="402"/>
      <c r="AJZ13" s="402"/>
      <c r="AKA13" s="402"/>
      <c r="AKB13" s="402"/>
      <c r="AKC13" s="402"/>
      <c r="AKD13" s="402"/>
      <c r="AKE13" s="402"/>
      <c r="AKF13" s="402"/>
      <c r="AKG13" s="402"/>
      <c r="AKH13" s="402"/>
      <c r="AKI13" s="402"/>
      <c r="AKJ13" s="402"/>
      <c r="AKK13" s="402"/>
      <c r="AKL13" s="402"/>
      <c r="AKM13" s="402"/>
      <c r="AKN13" s="402"/>
      <c r="AKO13" s="402"/>
      <c r="AKP13" s="402"/>
      <c r="AKQ13" s="402"/>
      <c r="AKR13" s="402"/>
      <c r="AKS13" s="402"/>
      <c r="AKT13" s="402"/>
      <c r="AKU13" s="402"/>
      <c r="AKV13" s="402"/>
      <c r="AKW13" s="402"/>
      <c r="AKX13" s="402"/>
      <c r="AKY13" s="402"/>
      <c r="AKZ13" s="402"/>
      <c r="ALA13" s="402"/>
      <c r="ALB13" s="402"/>
      <c r="ALC13" s="402"/>
      <c r="ALD13" s="402"/>
      <c r="ALE13" s="402"/>
      <c r="ALF13" s="402"/>
      <c r="ALG13" s="402"/>
      <c r="ALH13" s="402"/>
      <c r="ALI13" s="402"/>
      <c r="ALJ13" s="402"/>
      <c r="ALK13" s="402"/>
      <c r="ALL13" s="402"/>
      <c r="ALM13" s="402"/>
      <c r="ALN13" s="402"/>
      <c r="ALO13" s="402"/>
      <c r="ALP13" s="402"/>
      <c r="ALQ13" s="402"/>
      <c r="ALR13" s="402"/>
      <c r="ALS13" s="402"/>
      <c r="ALT13" s="402"/>
      <c r="ALU13" s="402"/>
      <c r="ALV13" s="402"/>
      <c r="ALW13" s="402"/>
      <c r="ALX13" s="402"/>
      <c r="ALY13" s="402"/>
      <c r="ALZ13" s="402"/>
      <c r="AMA13" s="402"/>
      <c r="AMB13" s="402"/>
      <c r="AMC13" s="402"/>
      <c r="AMD13" s="402"/>
      <c r="AME13" s="402"/>
      <c r="AMF13" s="402"/>
      <c r="AMG13" s="402"/>
      <c r="AMH13" s="402"/>
      <c r="AMI13" s="402"/>
      <c r="AMJ13" s="402"/>
      <c r="AMK13" s="402"/>
      <c r="AML13" s="402"/>
      <c r="AMM13" s="402"/>
      <c r="AMN13" s="402"/>
      <c r="AMO13" s="402"/>
      <c r="AMP13" s="402"/>
    </row>
    <row r="14" spans="1:1030" s="354" customFormat="1" ht="12.75" x14ac:dyDescent="0.2">
      <c r="B14" s="404">
        <f>1</f>
        <v>1</v>
      </c>
      <c r="C14" s="405" t="s">
        <v>126</v>
      </c>
      <c r="D14" s="406" t="s">
        <v>126</v>
      </c>
      <c r="E14" s="406" t="s">
        <v>280</v>
      </c>
      <c r="F14" s="407" t="s">
        <v>281</v>
      </c>
      <c r="G14" s="407" t="s">
        <v>282</v>
      </c>
      <c r="H14" s="408" t="s">
        <v>22</v>
      </c>
      <c r="I14" s="408" t="s">
        <v>21</v>
      </c>
      <c r="J14" s="408" t="s">
        <v>35</v>
      </c>
      <c r="K14" s="408" t="s">
        <v>35</v>
      </c>
      <c r="L14" s="408" t="s">
        <v>35</v>
      </c>
      <c r="M14" s="408" t="s">
        <v>37</v>
      </c>
      <c r="N14" s="409">
        <v>26301049.309999999</v>
      </c>
      <c r="O14" s="409">
        <v>0</v>
      </c>
      <c r="P14" s="409">
        <v>3038330.5856449576</v>
      </c>
      <c r="Q14" s="409">
        <f t="shared" ref="Q14:Q31" si="4">IFERROR(IF(O14-P14&gt;0,O14-P14,0),"")</f>
        <v>0</v>
      </c>
      <c r="R14" s="409">
        <f t="shared" ref="R14:R31" si="5">IFERROR(N14-Q14,"")</f>
        <v>26301049.309999999</v>
      </c>
      <c r="S14" s="410">
        <f t="shared" ref="S14:S31" si="6">IFERROR(IF(M14="Yes",R14*$S$4,ROUND(R14*Factor_Applied_to_SPC_Less_Attributable_Advance_Payments,0)),"")</f>
        <v>21457661.699886367</v>
      </c>
      <c r="T14" s="409">
        <f t="shared" ref="T14:T31" si="7">IF(D14="","",S14)</f>
        <v>21457661.699886367</v>
      </c>
      <c r="U14" s="411">
        <f t="shared" ref="U14:U25" si="8">IFERROR(ROUND(T14*State_Match_Rate,0),"")</f>
        <v>7538077</v>
      </c>
      <c r="V14" s="411">
        <f t="shared" ref="V14:V31" si="9">IFERROR(MAX(R14-T14,0),"")</f>
        <v>4843387.6101136319</v>
      </c>
      <c r="W14" s="412">
        <v>0</v>
      </c>
      <c r="X14" s="412">
        <v>0</v>
      </c>
      <c r="Y14" s="411">
        <f t="shared" ref="Y14:Z31" si="10">IFERROR(ROUND(T14-W14,2),"")</f>
        <v>21457661.699999999</v>
      </c>
      <c r="Z14" s="411">
        <f t="shared" si="10"/>
        <v>7538077</v>
      </c>
      <c r="AA14" s="411">
        <f t="shared" ref="AA14:AA31" si="11">IFERROR(ROUND(IF(M14="Yes",T14,IF(M14="No",0,"")),2),"")</f>
        <v>21457661.699999999</v>
      </c>
      <c r="AB14" s="383"/>
      <c r="AC14" s="413"/>
      <c r="AD14" s="413" t="str">
        <f t="shared" ref="AD14:AD31" si="12">IF(Y14&lt;0, "Yes", "")</f>
        <v/>
      </c>
      <c r="AE14" s="414" t="str">
        <f>IF($AD14="","",COUNTIFS($AD$14:AD14,"Yes"))</f>
        <v/>
      </c>
      <c r="AF14" s="413" t="b">
        <f>IF(C14="", "", AND(INDEX('Summary Dynamic'!$D$8:$D$10, MATCH(H14, 'Summary Dynamic'!$C$8:$C$10, 0))="Include", INDEX('Summary Dynamic'!$D$12:$D$14, MATCH(I14, 'Summary Dynamic'!$C$12:$C$14, 0))="Include", INDEX('Summary Dynamic'!$D$16:$D$17, MATCH(J14, 'Summary Dynamic'!$C$16:$C$17, 0))="Include", INDEX('Summary Dynamic'!$D$19:$D$20, MATCH(K14, 'Summary Dynamic'!$C$19:$C$20, 0))="Include", INDEX('Summary Dynamic'!$D$22:$D$23, MATCH(L14, 'Summary Dynamic'!$C$22:$C$23, 0))="Include", INDEX('Summary Dynamic'!$D$25:$D$26, MATCH(M14, 'Summary Dynamic'!$C$25:$C$26, 0))="Include"))</f>
        <v>1</v>
      </c>
      <c r="AG14" s="414">
        <f>IFERROR(IF(C14="", "", IF(AF14=TRUE, COUNTIFS($AF$14:AF14, TRUE), "n/a")), "n/a")</f>
        <v>1</v>
      </c>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53"/>
      <c r="DI14" s="353"/>
      <c r="DJ14" s="353"/>
      <c r="DK14" s="353"/>
      <c r="DL14" s="353"/>
      <c r="DM14" s="353"/>
      <c r="DN14" s="353"/>
      <c r="DO14" s="353"/>
      <c r="DP14" s="353"/>
      <c r="DQ14" s="353"/>
      <c r="DR14" s="353"/>
      <c r="DS14" s="353"/>
      <c r="DT14" s="353"/>
      <c r="DU14" s="353"/>
      <c r="DV14" s="353"/>
      <c r="DW14" s="353"/>
      <c r="DX14" s="353"/>
      <c r="DY14" s="353"/>
      <c r="DZ14" s="353"/>
      <c r="EA14" s="353"/>
      <c r="EB14" s="353"/>
      <c r="EC14" s="353"/>
      <c r="ED14" s="353"/>
      <c r="EE14" s="353"/>
      <c r="EF14" s="353"/>
      <c r="EG14" s="353"/>
      <c r="EH14" s="353"/>
      <c r="EI14" s="353"/>
      <c r="EJ14" s="353"/>
      <c r="EK14" s="353"/>
      <c r="EL14" s="353"/>
      <c r="EM14" s="353"/>
      <c r="EN14" s="353"/>
      <c r="EO14" s="353"/>
      <c r="EP14" s="353"/>
      <c r="EQ14" s="353"/>
      <c r="ER14" s="353"/>
      <c r="ES14" s="353"/>
      <c r="ET14" s="353"/>
      <c r="EU14" s="353"/>
      <c r="EV14" s="353"/>
      <c r="EW14" s="353"/>
      <c r="EX14" s="353"/>
      <c r="EY14" s="353"/>
      <c r="EZ14" s="353"/>
      <c r="FA14" s="353"/>
      <c r="FB14" s="353"/>
      <c r="FC14" s="353"/>
      <c r="FD14" s="353"/>
      <c r="FE14" s="353"/>
      <c r="FF14" s="353"/>
      <c r="FG14" s="353"/>
      <c r="FH14" s="353"/>
      <c r="FI14" s="353"/>
      <c r="FJ14" s="353"/>
      <c r="FK14" s="353"/>
      <c r="FL14" s="353"/>
      <c r="FM14" s="353"/>
      <c r="FN14" s="353"/>
      <c r="FO14" s="353"/>
      <c r="FP14" s="353"/>
      <c r="FQ14" s="353"/>
      <c r="FR14" s="353"/>
      <c r="FS14" s="353"/>
      <c r="FT14" s="353"/>
      <c r="FU14" s="353"/>
      <c r="FV14" s="353"/>
      <c r="FW14" s="353"/>
      <c r="FX14" s="353"/>
      <c r="FY14" s="353"/>
      <c r="FZ14" s="353"/>
      <c r="GA14" s="353"/>
      <c r="GB14" s="353"/>
      <c r="GC14" s="353"/>
      <c r="GD14" s="353"/>
      <c r="GE14" s="353"/>
      <c r="GF14" s="353"/>
      <c r="GG14" s="353"/>
      <c r="GH14" s="353"/>
      <c r="GI14" s="353"/>
      <c r="GJ14" s="353"/>
      <c r="GK14" s="353"/>
      <c r="GL14" s="353"/>
      <c r="GM14" s="353"/>
      <c r="GN14" s="353"/>
      <c r="GO14" s="353"/>
      <c r="GP14" s="353"/>
      <c r="GQ14" s="353"/>
      <c r="GR14" s="353"/>
      <c r="GS14" s="353"/>
      <c r="GT14" s="353"/>
      <c r="GU14" s="353"/>
      <c r="GV14" s="353"/>
      <c r="GW14" s="353"/>
      <c r="GX14" s="353"/>
      <c r="GY14" s="353"/>
      <c r="GZ14" s="353"/>
      <c r="HA14" s="353"/>
      <c r="HB14" s="353"/>
      <c r="HC14" s="353"/>
      <c r="HD14" s="353"/>
      <c r="HE14" s="353"/>
      <c r="HF14" s="353"/>
      <c r="HG14" s="353"/>
      <c r="HH14" s="353"/>
      <c r="HI14" s="353"/>
      <c r="HJ14" s="353"/>
      <c r="HK14" s="353"/>
      <c r="HL14" s="353"/>
      <c r="HM14" s="353"/>
      <c r="HN14" s="353"/>
      <c r="HO14" s="353"/>
      <c r="HP14" s="353"/>
      <c r="HQ14" s="353"/>
      <c r="HR14" s="353"/>
      <c r="HS14" s="353"/>
      <c r="HT14" s="353"/>
      <c r="HU14" s="353"/>
      <c r="HV14" s="353"/>
      <c r="HW14" s="353"/>
      <c r="HX14" s="353"/>
      <c r="HY14" s="353"/>
      <c r="HZ14" s="353"/>
      <c r="IA14" s="353"/>
      <c r="IB14" s="353"/>
      <c r="IC14" s="353"/>
      <c r="ID14" s="353"/>
      <c r="IE14" s="353"/>
      <c r="IF14" s="353"/>
      <c r="IG14" s="353"/>
      <c r="IH14" s="353"/>
      <c r="II14" s="353"/>
      <c r="IJ14" s="353"/>
      <c r="IK14" s="353"/>
      <c r="IL14" s="353"/>
      <c r="IM14" s="353"/>
      <c r="IN14" s="353"/>
      <c r="IO14" s="353"/>
      <c r="IP14" s="353"/>
      <c r="IQ14" s="353"/>
      <c r="IR14" s="353"/>
      <c r="IS14" s="353"/>
      <c r="IT14" s="353"/>
      <c r="IU14" s="353"/>
      <c r="IV14" s="353"/>
      <c r="IW14" s="353"/>
      <c r="IX14" s="353"/>
      <c r="IY14" s="353"/>
      <c r="IZ14" s="353"/>
      <c r="JA14" s="353"/>
      <c r="JB14" s="353"/>
      <c r="JC14" s="353"/>
      <c r="JD14" s="353"/>
      <c r="JE14" s="353"/>
      <c r="JF14" s="353"/>
      <c r="JG14" s="353"/>
      <c r="JH14" s="353"/>
      <c r="JI14" s="353"/>
      <c r="JJ14" s="353"/>
      <c r="JK14" s="353"/>
      <c r="JL14" s="353"/>
      <c r="JM14" s="353"/>
      <c r="JN14" s="353"/>
      <c r="JO14" s="353"/>
      <c r="JP14" s="353"/>
      <c r="JQ14" s="353"/>
      <c r="JR14" s="353"/>
      <c r="JS14" s="353"/>
      <c r="JT14" s="353"/>
      <c r="JU14" s="353"/>
      <c r="JV14" s="353"/>
      <c r="JW14" s="353"/>
      <c r="JX14" s="353"/>
      <c r="JY14" s="353"/>
      <c r="JZ14" s="353"/>
      <c r="KA14" s="353"/>
      <c r="KB14" s="353"/>
      <c r="KC14" s="353"/>
      <c r="KD14" s="353"/>
      <c r="KE14" s="353"/>
      <c r="KF14" s="353"/>
      <c r="KG14" s="353"/>
      <c r="KH14" s="353"/>
      <c r="KI14" s="353"/>
      <c r="KJ14" s="353"/>
      <c r="KK14" s="353"/>
      <c r="KL14" s="353"/>
      <c r="KM14" s="353"/>
      <c r="KN14" s="353"/>
      <c r="KO14" s="353"/>
      <c r="KP14" s="353"/>
      <c r="KQ14" s="353"/>
      <c r="KR14" s="353"/>
      <c r="KS14" s="353"/>
      <c r="KT14" s="353"/>
      <c r="KU14" s="353"/>
      <c r="KV14" s="353"/>
      <c r="KW14" s="353"/>
      <c r="KX14" s="353"/>
      <c r="KY14" s="353"/>
      <c r="KZ14" s="353"/>
      <c r="LA14" s="353"/>
      <c r="LB14" s="353"/>
      <c r="LC14" s="353"/>
      <c r="LD14" s="353"/>
      <c r="LE14" s="353"/>
      <c r="LF14" s="353"/>
      <c r="LG14" s="353"/>
      <c r="LH14" s="353"/>
      <c r="LI14" s="353"/>
      <c r="LJ14" s="353"/>
      <c r="LK14" s="353"/>
      <c r="LL14" s="353"/>
      <c r="LM14" s="353"/>
      <c r="LN14" s="353"/>
      <c r="LO14" s="353"/>
      <c r="LP14" s="353"/>
      <c r="LQ14" s="353"/>
      <c r="LR14" s="353"/>
      <c r="LS14" s="353"/>
      <c r="LT14" s="353"/>
      <c r="LU14" s="353"/>
      <c r="LV14" s="353"/>
      <c r="LW14" s="353"/>
      <c r="LX14" s="353"/>
      <c r="LY14" s="353"/>
      <c r="LZ14" s="353"/>
      <c r="MA14" s="353"/>
      <c r="MB14" s="353"/>
      <c r="MC14" s="353"/>
      <c r="MD14" s="353"/>
      <c r="ME14" s="353"/>
      <c r="MF14" s="353"/>
      <c r="MG14" s="353"/>
      <c r="MH14" s="353"/>
      <c r="MI14" s="353"/>
      <c r="MJ14" s="353"/>
      <c r="MK14" s="353"/>
      <c r="ML14" s="353"/>
      <c r="MM14" s="353"/>
      <c r="MN14" s="353"/>
      <c r="MO14" s="353"/>
      <c r="MP14" s="353"/>
      <c r="MQ14" s="353"/>
      <c r="MR14" s="353"/>
      <c r="MS14" s="353"/>
      <c r="MT14" s="353"/>
      <c r="MU14" s="353"/>
      <c r="MV14" s="353"/>
      <c r="MW14" s="353"/>
      <c r="MX14" s="353"/>
      <c r="MY14" s="353"/>
      <c r="MZ14" s="353"/>
      <c r="NA14" s="353"/>
      <c r="NB14" s="353"/>
      <c r="NC14" s="353"/>
      <c r="ND14" s="353"/>
      <c r="NE14" s="353"/>
      <c r="NF14" s="353"/>
      <c r="NG14" s="353"/>
      <c r="NH14" s="353"/>
      <c r="NI14" s="353"/>
      <c r="NJ14" s="353"/>
      <c r="NK14" s="353"/>
      <c r="NL14" s="353"/>
      <c r="NM14" s="353"/>
      <c r="NN14" s="353"/>
      <c r="NO14" s="353"/>
      <c r="NP14" s="353"/>
      <c r="NQ14" s="353"/>
      <c r="NR14" s="353"/>
      <c r="NS14" s="353"/>
      <c r="NT14" s="353"/>
      <c r="NU14" s="353"/>
      <c r="NV14" s="353"/>
      <c r="NW14" s="353"/>
      <c r="NX14" s="353"/>
      <c r="NY14" s="353"/>
      <c r="NZ14" s="353"/>
      <c r="OA14" s="353"/>
      <c r="OB14" s="353"/>
      <c r="OC14" s="353"/>
      <c r="OD14" s="353"/>
      <c r="OE14" s="353"/>
      <c r="OF14" s="353"/>
      <c r="OG14" s="353"/>
      <c r="OH14" s="353"/>
      <c r="OI14" s="353"/>
      <c r="OJ14" s="353"/>
      <c r="OK14" s="353"/>
      <c r="OL14" s="353"/>
      <c r="OM14" s="353"/>
      <c r="ON14" s="353"/>
      <c r="OO14" s="353"/>
      <c r="OP14" s="353"/>
      <c r="OQ14" s="353"/>
      <c r="OR14" s="353"/>
      <c r="OS14" s="353"/>
      <c r="OT14" s="353"/>
      <c r="OU14" s="353"/>
      <c r="OV14" s="353"/>
      <c r="OW14" s="353"/>
      <c r="OX14" s="353"/>
      <c r="OY14" s="353"/>
      <c r="OZ14" s="353"/>
      <c r="PA14" s="353"/>
      <c r="PB14" s="353"/>
      <c r="PC14" s="353"/>
      <c r="PD14" s="353"/>
      <c r="PE14" s="353"/>
      <c r="PF14" s="353"/>
      <c r="PG14" s="353"/>
      <c r="PH14" s="353"/>
      <c r="PI14" s="353"/>
      <c r="PJ14" s="353"/>
      <c r="PK14" s="353"/>
      <c r="PL14" s="353"/>
      <c r="PM14" s="353"/>
      <c r="PN14" s="353"/>
      <c r="PO14" s="353"/>
      <c r="PP14" s="353"/>
      <c r="PQ14" s="353"/>
      <c r="PR14" s="353"/>
      <c r="PS14" s="353"/>
      <c r="PT14" s="353"/>
      <c r="PU14" s="353"/>
      <c r="PV14" s="353"/>
      <c r="PW14" s="353"/>
      <c r="PX14" s="353"/>
      <c r="PY14" s="353"/>
      <c r="PZ14" s="353"/>
      <c r="QA14" s="353"/>
      <c r="QB14" s="353"/>
      <c r="QC14" s="353"/>
      <c r="QD14" s="353"/>
      <c r="QE14" s="353"/>
      <c r="QF14" s="353"/>
      <c r="QG14" s="353"/>
      <c r="QH14" s="353"/>
      <c r="QI14" s="353"/>
      <c r="QJ14" s="353"/>
      <c r="QK14" s="353"/>
      <c r="QL14" s="353"/>
      <c r="QM14" s="353"/>
      <c r="QN14" s="353"/>
      <c r="QO14" s="353"/>
      <c r="QP14" s="353"/>
      <c r="QQ14" s="353"/>
      <c r="QR14" s="353"/>
      <c r="QS14" s="353"/>
      <c r="QT14" s="353"/>
      <c r="QU14" s="353"/>
      <c r="QV14" s="353"/>
      <c r="QW14" s="353"/>
      <c r="QX14" s="353"/>
      <c r="QY14" s="353"/>
      <c r="QZ14" s="353"/>
      <c r="RA14" s="353"/>
      <c r="RB14" s="353"/>
      <c r="RC14" s="353"/>
      <c r="RD14" s="353"/>
      <c r="RE14" s="353"/>
      <c r="RF14" s="353"/>
      <c r="RG14" s="353"/>
      <c r="RH14" s="353"/>
      <c r="RI14" s="353"/>
      <c r="RJ14" s="353"/>
      <c r="RK14" s="353"/>
      <c r="RL14" s="353"/>
      <c r="RM14" s="353"/>
      <c r="RN14" s="353"/>
      <c r="RO14" s="353"/>
      <c r="RP14" s="353"/>
      <c r="RQ14" s="353"/>
      <c r="RR14" s="353"/>
      <c r="RS14" s="353"/>
      <c r="RT14" s="353"/>
      <c r="RU14" s="353"/>
      <c r="RV14" s="353"/>
      <c r="RW14" s="353"/>
      <c r="RX14" s="353"/>
      <c r="RY14" s="353"/>
      <c r="RZ14" s="353"/>
      <c r="SA14" s="353"/>
      <c r="SB14" s="353"/>
      <c r="SC14" s="353"/>
      <c r="SD14" s="353"/>
      <c r="SE14" s="353"/>
      <c r="SF14" s="353"/>
      <c r="SG14" s="353"/>
      <c r="SH14" s="353"/>
      <c r="SI14" s="353"/>
      <c r="SJ14" s="353"/>
      <c r="SK14" s="353"/>
      <c r="SL14" s="353"/>
      <c r="SM14" s="353"/>
      <c r="SN14" s="353"/>
      <c r="SO14" s="353"/>
      <c r="SP14" s="353"/>
      <c r="SQ14" s="353"/>
      <c r="SR14" s="353"/>
      <c r="SS14" s="353"/>
      <c r="ST14" s="353"/>
      <c r="SU14" s="353"/>
      <c r="SV14" s="353"/>
      <c r="SW14" s="353"/>
      <c r="SX14" s="353"/>
      <c r="SY14" s="353"/>
      <c r="SZ14" s="353"/>
      <c r="TA14" s="353"/>
      <c r="TB14" s="353"/>
      <c r="TC14" s="353"/>
      <c r="TD14" s="353"/>
      <c r="TE14" s="353"/>
      <c r="TF14" s="353"/>
      <c r="TG14" s="353"/>
      <c r="TH14" s="353"/>
      <c r="TI14" s="353"/>
      <c r="TJ14" s="353"/>
      <c r="TK14" s="353"/>
      <c r="TL14" s="353"/>
      <c r="TM14" s="353"/>
      <c r="TN14" s="353"/>
      <c r="TO14" s="353"/>
      <c r="TP14" s="353"/>
      <c r="TQ14" s="353"/>
      <c r="TR14" s="353"/>
      <c r="TS14" s="353"/>
      <c r="TT14" s="353"/>
      <c r="TU14" s="353"/>
      <c r="TV14" s="353"/>
      <c r="TW14" s="353"/>
      <c r="TX14" s="353"/>
      <c r="TY14" s="353"/>
      <c r="TZ14" s="353"/>
      <c r="UA14" s="353"/>
      <c r="UB14" s="353"/>
      <c r="UC14" s="353"/>
      <c r="UD14" s="353"/>
      <c r="UE14" s="353"/>
      <c r="UF14" s="353"/>
      <c r="UG14" s="353"/>
      <c r="UH14" s="353"/>
      <c r="UI14" s="353"/>
      <c r="UJ14" s="353"/>
      <c r="UK14" s="353"/>
      <c r="UL14" s="353"/>
      <c r="UM14" s="353"/>
      <c r="UN14" s="353"/>
      <c r="UO14" s="353"/>
      <c r="UP14" s="353"/>
      <c r="UQ14" s="353"/>
      <c r="UR14" s="353"/>
      <c r="US14" s="353"/>
      <c r="UT14" s="353"/>
      <c r="UU14" s="353"/>
      <c r="UV14" s="353"/>
      <c r="UW14" s="353"/>
      <c r="UX14" s="353"/>
      <c r="UY14" s="353"/>
      <c r="UZ14" s="353"/>
      <c r="VA14" s="353"/>
      <c r="VB14" s="353"/>
      <c r="VC14" s="353"/>
      <c r="VD14" s="353"/>
      <c r="VE14" s="353"/>
      <c r="VF14" s="353"/>
      <c r="VG14" s="353"/>
      <c r="VH14" s="353"/>
      <c r="VI14" s="353"/>
      <c r="VJ14" s="353"/>
      <c r="VK14" s="353"/>
      <c r="VL14" s="353"/>
      <c r="VM14" s="353"/>
      <c r="VN14" s="353"/>
      <c r="VO14" s="353"/>
      <c r="VP14" s="353"/>
      <c r="VQ14" s="353"/>
      <c r="VR14" s="353"/>
      <c r="VS14" s="353"/>
      <c r="VT14" s="353"/>
      <c r="VU14" s="353"/>
      <c r="VV14" s="353"/>
      <c r="VW14" s="353"/>
      <c r="VX14" s="353"/>
      <c r="VY14" s="353"/>
      <c r="VZ14" s="353"/>
      <c r="WA14" s="353"/>
      <c r="WB14" s="353"/>
      <c r="WC14" s="353"/>
      <c r="WD14" s="353"/>
      <c r="WE14" s="353"/>
      <c r="WF14" s="353"/>
      <c r="WG14" s="353"/>
      <c r="WH14" s="353"/>
      <c r="WI14" s="353"/>
      <c r="WJ14" s="353"/>
      <c r="WK14" s="353"/>
      <c r="WL14" s="353"/>
      <c r="WM14" s="353"/>
      <c r="WN14" s="353"/>
      <c r="WO14" s="353"/>
      <c r="WP14" s="353"/>
      <c r="WQ14" s="353"/>
      <c r="WR14" s="353"/>
      <c r="WS14" s="353"/>
      <c r="WT14" s="353"/>
      <c r="WU14" s="353"/>
      <c r="WV14" s="353"/>
      <c r="WW14" s="353"/>
      <c r="WX14" s="353"/>
      <c r="WY14" s="353"/>
      <c r="WZ14" s="353"/>
      <c r="XA14" s="353"/>
      <c r="XB14" s="353"/>
      <c r="XC14" s="353"/>
      <c r="XD14" s="353"/>
      <c r="XE14" s="353"/>
      <c r="XF14" s="353"/>
      <c r="XG14" s="353"/>
      <c r="XH14" s="353"/>
      <c r="XI14" s="353"/>
      <c r="XJ14" s="353"/>
      <c r="XK14" s="353"/>
      <c r="XL14" s="353"/>
      <c r="XM14" s="353"/>
      <c r="XN14" s="353"/>
      <c r="XO14" s="353"/>
      <c r="XP14" s="353"/>
      <c r="XQ14" s="353"/>
      <c r="XR14" s="353"/>
      <c r="XS14" s="353"/>
      <c r="XT14" s="353"/>
      <c r="XU14" s="353"/>
      <c r="XV14" s="353"/>
      <c r="XW14" s="353"/>
      <c r="XX14" s="353"/>
      <c r="XY14" s="353"/>
      <c r="XZ14" s="353"/>
      <c r="YA14" s="353"/>
      <c r="YB14" s="353"/>
      <c r="YC14" s="353"/>
      <c r="YD14" s="353"/>
      <c r="YE14" s="353"/>
      <c r="YF14" s="353"/>
      <c r="YG14" s="353"/>
      <c r="YH14" s="353"/>
      <c r="YI14" s="353"/>
      <c r="YJ14" s="353"/>
      <c r="YK14" s="353"/>
      <c r="YL14" s="353"/>
      <c r="YM14" s="353"/>
      <c r="YN14" s="353"/>
      <c r="YO14" s="353"/>
      <c r="YP14" s="353"/>
      <c r="YQ14" s="353"/>
      <c r="YR14" s="353"/>
      <c r="YS14" s="353"/>
      <c r="YT14" s="353"/>
      <c r="YU14" s="353"/>
      <c r="YV14" s="353"/>
      <c r="YW14" s="353"/>
      <c r="YX14" s="353"/>
      <c r="YY14" s="353"/>
      <c r="YZ14" s="353"/>
      <c r="ZA14" s="353"/>
      <c r="ZB14" s="353"/>
      <c r="ZC14" s="353"/>
      <c r="ZD14" s="353"/>
      <c r="ZE14" s="353"/>
      <c r="ZF14" s="353"/>
      <c r="ZG14" s="353"/>
      <c r="ZH14" s="353"/>
      <c r="ZI14" s="353"/>
      <c r="ZJ14" s="353"/>
      <c r="ZK14" s="353"/>
      <c r="ZL14" s="353"/>
      <c r="ZM14" s="353"/>
      <c r="ZN14" s="353"/>
      <c r="ZO14" s="353"/>
      <c r="ZP14" s="353"/>
      <c r="ZQ14" s="353"/>
      <c r="ZR14" s="353"/>
      <c r="ZS14" s="353"/>
      <c r="ZT14" s="353"/>
      <c r="ZU14" s="353"/>
      <c r="ZV14" s="353"/>
      <c r="ZW14" s="353"/>
      <c r="ZX14" s="353"/>
      <c r="ZY14" s="353"/>
      <c r="ZZ14" s="353"/>
      <c r="AAA14" s="353"/>
      <c r="AAB14" s="353"/>
      <c r="AAC14" s="353"/>
      <c r="AAD14" s="353"/>
      <c r="AAE14" s="353"/>
      <c r="AAF14" s="353"/>
      <c r="AAG14" s="353"/>
      <c r="AAH14" s="353"/>
      <c r="AAI14" s="353"/>
      <c r="AAJ14" s="353"/>
      <c r="AAK14" s="353"/>
      <c r="AAL14" s="353"/>
      <c r="AAM14" s="353"/>
      <c r="AAN14" s="353"/>
      <c r="AAO14" s="353"/>
      <c r="AAP14" s="353"/>
      <c r="AAQ14" s="353"/>
      <c r="AAR14" s="353"/>
      <c r="AAS14" s="353"/>
      <c r="AAT14" s="353"/>
      <c r="AAU14" s="353"/>
      <c r="AAV14" s="353"/>
      <c r="AAW14" s="353"/>
      <c r="AAX14" s="353"/>
      <c r="AAY14" s="353"/>
      <c r="AAZ14" s="353"/>
      <c r="ABA14" s="353"/>
      <c r="ABB14" s="353"/>
      <c r="ABC14" s="353"/>
      <c r="ABD14" s="353"/>
      <c r="ABE14" s="353"/>
      <c r="ABF14" s="353"/>
      <c r="ABG14" s="353"/>
      <c r="ABH14" s="353"/>
      <c r="ABI14" s="353"/>
      <c r="ABJ14" s="353"/>
      <c r="ABK14" s="353"/>
      <c r="ABL14" s="353"/>
      <c r="ABM14" s="353"/>
      <c r="ABN14" s="353"/>
      <c r="ABO14" s="353"/>
      <c r="ABP14" s="353"/>
      <c r="ABQ14" s="353"/>
      <c r="ABR14" s="353"/>
      <c r="ABS14" s="353"/>
      <c r="ABT14" s="353"/>
      <c r="ABU14" s="353"/>
      <c r="ABV14" s="353"/>
      <c r="ABW14" s="353"/>
      <c r="ABX14" s="353"/>
      <c r="ABY14" s="353"/>
      <c r="ABZ14" s="353"/>
      <c r="ACA14" s="353"/>
      <c r="ACB14" s="353"/>
      <c r="ACC14" s="353"/>
      <c r="ACD14" s="353"/>
      <c r="ACE14" s="353"/>
      <c r="ACF14" s="353"/>
      <c r="ACG14" s="353"/>
      <c r="ACH14" s="353"/>
      <c r="ACI14" s="353"/>
      <c r="ACJ14" s="353"/>
      <c r="ACK14" s="353"/>
      <c r="ACL14" s="353"/>
      <c r="ACM14" s="353"/>
      <c r="ACN14" s="353"/>
      <c r="ACO14" s="353"/>
      <c r="ACP14" s="353"/>
      <c r="ACQ14" s="353"/>
      <c r="ACR14" s="353"/>
      <c r="ACS14" s="353"/>
      <c r="ACT14" s="353"/>
      <c r="ACU14" s="353"/>
      <c r="ACV14" s="353"/>
      <c r="ACW14" s="353"/>
      <c r="ACX14" s="353"/>
      <c r="ACY14" s="353"/>
      <c r="ACZ14" s="353"/>
      <c r="ADA14" s="353"/>
      <c r="ADB14" s="353"/>
      <c r="ADC14" s="353"/>
      <c r="ADD14" s="353"/>
      <c r="ADE14" s="353"/>
      <c r="ADF14" s="353"/>
      <c r="ADG14" s="353"/>
      <c r="ADH14" s="353"/>
      <c r="ADI14" s="353"/>
      <c r="ADJ14" s="353"/>
      <c r="ADK14" s="353"/>
      <c r="ADL14" s="353"/>
      <c r="ADM14" s="353"/>
      <c r="ADN14" s="353"/>
      <c r="ADO14" s="353"/>
      <c r="ADP14" s="353"/>
      <c r="ADQ14" s="353"/>
      <c r="ADR14" s="353"/>
      <c r="ADS14" s="353"/>
      <c r="ADT14" s="353"/>
      <c r="ADU14" s="353"/>
      <c r="ADV14" s="353"/>
      <c r="ADW14" s="353"/>
      <c r="ADX14" s="353"/>
      <c r="ADY14" s="353"/>
      <c r="ADZ14" s="353"/>
      <c r="AEA14" s="353"/>
      <c r="AEB14" s="353"/>
      <c r="AEC14" s="353"/>
      <c r="AED14" s="353"/>
      <c r="AEE14" s="353"/>
      <c r="AEF14" s="353"/>
      <c r="AEG14" s="353"/>
      <c r="AEH14" s="353"/>
      <c r="AEI14" s="353"/>
      <c r="AEJ14" s="353"/>
      <c r="AEK14" s="353"/>
      <c r="AEL14" s="353"/>
      <c r="AEM14" s="353"/>
      <c r="AEN14" s="353"/>
      <c r="AEO14" s="353"/>
      <c r="AEP14" s="353"/>
      <c r="AEQ14" s="353"/>
      <c r="AER14" s="353"/>
      <c r="AES14" s="353"/>
      <c r="AET14" s="353"/>
      <c r="AEU14" s="353"/>
      <c r="AEV14" s="353"/>
      <c r="AEW14" s="353"/>
      <c r="AEX14" s="353"/>
      <c r="AEY14" s="353"/>
      <c r="AEZ14" s="353"/>
      <c r="AFA14" s="353"/>
      <c r="AFB14" s="353"/>
      <c r="AFC14" s="353"/>
      <c r="AFD14" s="353"/>
      <c r="AFE14" s="353"/>
      <c r="AFF14" s="353"/>
      <c r="AFG14" s="353"/>
      <c r="AFH14" s="353"/>
      <c r="AFI14" s="353"/>
      <c r="AFJ14" s="353"/>
      <c r="AFK14" s="353"/>
      <c r="AFL14" s="353"/>
      <c r="AFM14" s="353"/>
      <c r="AFN14" s="353"/>
      <c r="AFO14" s="353"/>
      <c r="AFP14" s="353"/>
      <c r="AFQ14" s="353"/>
      <c r="AFR14" s="353"/>
      <c r="AFS14" s="353"/>
      <c r="AFT14" s="353"/>
      <c r="AFU14" s="353"/>
      <c r="AFV14" s="353"/>
      <c r="AFW14" s="353"/>
      <c r="AFX14" s="353"/>
      <c r="AFY14" s="353"/>
      <c r="AFZ14" s="353"/>
      <c r="AGA14" s="353"/>
      <c r="AGB14" s="353"/>
      <c r="AGC14" s="353"/>
      <c r="AGD14" s="353"/>
      <c r="AGE14" s="353"/>
      <c r="AGF14" s="353"/>
      <c r="AGG14" s="353"/>
      <c r="AGH14" s="353"/>
      <c r="AGI14" s="353"/>
      <c r="AGJ14" s="353"/>
      <c r="AGK14" s="353"/>
      <c r="AGL14" s="353"/>
      <c r="AGM14" s="353"/>
      <c r="AGN14" s="353"/>
      <c r="AGO14" s="353"/>
      <c r="AGP14" s="353"/>
      <c r="AGQ14" s="353"/>
      <c r="AGR14" s="353"/>
      <c r="AGS14" s="353"/>
      <c r="AGT14" s="353"/>
      <c r="AGU14" s="353"/>
      <c r="AGV14" s="353"/>
      <c r="AGW14" s="353"/>
      <c r="AGX14" s="353"/>
      <c r="AGY14" s="353"/>
      <c r="AGZ14" s="353"/>
      <c r="AHA14" s="353"/>
      <c r="AHB14" s="353"/>
      <c r="AHC14" s="353"/>
      <c r="AHD14" s="353"/>
      <c r="AHE14" s="353"/>
      <c r="AHF14" s="353"/>
      <c r="AHG14" s="353"/>
      <c r="AHH14" s="353"/>
      <c r="AHI14" s="353"/>
      <c r="AHJ14" s="353"/>
      <c r="AHK14" s="353"/>
      <c r="AHL14" s="353"/>
      <c r="AHM14" s="353"/>
      <c r="AHN14" s="353"/>
      <c r="AHO14" s="353"/>
      <c r="AHP14" s="353"/>
      <c r="AHQ14" s="353"/>
      <c r="AHR14" s="353"/>
      <c r="AHS14" s="353"/>
      <c r="AHT14" s="353"/>
      <c r="AHU14" s="353"/>
      <c r="AHV14" s="353"/>
      <c r="AHW14" s="353"/>
      <c r="AHX14" s="353"/>
      <c r="AHY14" s="353"/>
      <c r="AHZ14" s="353"/>
      <c r="AIA14" s="353"/>
      <c r="AIB14" s="353"/>
      <c r="AIC14" s="353"/>
      <c r="AID14" s="353"/>
      <c r="AIE14" s="353"/>
      <c r="AIF14" s="353"/>
      <c r="AIG14" s="353"/>
      <c r="AIH14" s="353"/>
      <c r="AII14" s="353"/>
      <c r="AIJ14" s="353"/>
      <c r="AIK14" s="353"/>
      <c r="AIL14" s="353"/>
      <c r="AIM14" s="353"/>
      <c r="AIN14" s="353"/>
      <c r="AIO14" s="353"/>
      <c r="AIP14" s="353"/>
      <c r="AIQ14" s="353"/>
      <c r="AIR14" s="353"/>
      <c r="AIS14" s="353"/>
      <c r="AIT14" s="353"/>
      <c r="AIU14" s="353"/>
      <c r="AIV14" s="353"/>
      <c r="AIW14" s="353"/>
      <c r="AIX14" s="353"/>
      <c r="AIY14" s="353"/>
      <c r="AIZ14" s="353"/>
      <c r="AJA14" s="353"/>
      <c r="AJB14" s="353"/>
      <c r="AJC14" s="353"/>
      <c r="AJD14" s="353"/>
      <c r="AJE14" s="353"/>
      <c r="AJF14" s="353"/>
      <c r="AJG14" s="353"/>
      <c r="AJH14" s="353"/>
      <c r="AJI14" s="353"/>
      <c r="AJJ14" s="353"/>
      <c r="AJK14" s="353"/>
      <c r="AJL14" s="353"/>
      <c r="AJM14" s="353"/>
      <c r="AJN14" s="353"/>
      <c r="AJO14" s="353"/>
      <c r="AJP14" s="353"/>
      <c r="AJQ14" s="353"/>
      <c r="AJR14" s="353"/>
      <c r="AJS14" s="353"/>
      <c r="AJT14" s="353"/>
      <c r="AJU14" s="353"/>
      <c r="AJV14" s="353"/>
      <c r="AJW14" s="353"/>
      <c r="AJX14" s="353"/>
      <c r="AJY14" s="353"/>
      <c r="AJZ14" s="353"/>
      <c r="AKA14" s="353"/>
      <c r="AKB14" s="353"/>
      <c r="AKC14" s="353"/>
      <c r="AKD14" s="353"/>
      <c r="AKE14" s="353"/>
      <c r="AKF14" s="353"/>
      <c r="AKG14" s="353"/>
      <c r="AKH14" s="353"/>
      <c r="AKI14" s="353"/>
      <c r="AKJ14" s="353"/>
      <c r="AKK14" s="353"/>
      <c r="AKL14" s="353"/>
      <c r="AKM14" s="353"/>
      <c r="AKN14" s="353"/>
      <c r="AKO14" s="353"/>
      <c r="AKP14" s="353"/>
      <c r="AKQ14" s="353"/>
      <c r="AKR14" s="353"/>
      <c r="AKS14" s="353"/>
      <c r="AKT14" s="353"/>
      <c r="AKU14" s="353"/>
      <c r="AKV14" s="353"/>
      <c r="AKW14" s="353"/>
      <c r="AKX14" s="353"/>
      <c r="AKY14" s="353"/>
      <c r="AKZ14" s="353"/>
      <c r="ALA14" s="353"/>
      <c r="ALB14" s="353"/>
      <c r="ALC14" s="353"/>
      <c r="ALD14" s="353"/>
      <c r="ALE14" s="353"/>
      <c r="ALF14" s="353"/>
      <c r="ALG14" s="353"/>
      <c r="ALH14" s="353"/>
      <c r="ALI14" s="353"/>
      <c r="ALJ14" s="353"/>
      <c r="ALK14" s="353"/>
      <c r="ALL14" s="353"/>
      <c r="ALM14" s="353"/>
      <c r="ALN14" s="353"/>
      <c r="ALO14" s="353"/>
      <c r="ALP14" s="353"/>
      <c r="ALQ14" s="353"/>
      <c r="ALR14" s="353"/>
      <c r="ALS14" s="353"/>
      <c r="ALT14" s="353"/>
      <c r="ALU14" s="353"/>
      <c r="ALV14" s="353"/>
      <c r="ALW14" s="353"/>
      <c r="ALX14" s="353"/>
      <c r="ALY14" s="353"/>
      <c r="ALZ14" s="353"/>
      <c r="AMA14" s="353"/>
      <c r="AMB14" s="353"/>
      <c r="AMC14" s="353"/>
      <c r="AMD14" s="353"/>
      <c r="AME14" s="353"/>
      <c r="AMF14" s="353"/>
      <c r="AMG14" s="353"/>
      <c r="AMH14" s="353"/>
      <c r="AMI14" s="353"/>
      <c r="AMJ14" s="353"/>
      <c r="AMK14" s="353"/>
      <c r="AML14" s="353"/>
      <c r="AMM14" s="353"/>
      <c r="AMN14" s="353"/>
      <c r="AMO14" s="353"/>
      <c r="AMP14" s="353"/>
    </row>
    <row r="15" spans="1:1030" s="354" customFormat="1" ht="12.75" x14ac:dyDescent="0.2">
      <c r="B15" s="404">
        <f t="shared" ref="B15:B31" si="13">IF(B14&lt;$C$8, B14+1, "")</f>
        <v>2</v>
      </c>
      <c r="C15" s="405" t="s">
        <v>131</v>
      </c>
      <c r="D15" s="406" t="s">
        <v>131</v>
      </c>
      <c r="E15" s="406" t="s">
        <v>283</v>
      </c>
      <c r="F15" s="407" t="s">
        <v>132</v>
      </c>
      <c r="G15" s="407" t="s">
        <v>284</v>
      </c>
      <c r="H15" s="408" t="s">
        <v>22</v>
      </c>
      <c r="I15" s="408" t="s">
        <v>21</v>
      </c>
      <c r="J15" s="408" t="s">
        <v>35</v>
      </c>
      <c r="K15" s="408" t="s">
        <v>35</v>
      </c>
      <c r="L15" s="408" t="s">
        <v>35</v>
      </c>
      <c r="M15" s="408" t="s">
        <v>37</v>
      </c>
      <c r="N15" s="409">
        <v>42391920.729999997</v>
      </c>
      <c r="O15" s="409">
        <v>0</v>
      </c>
      <c r="P15" s="409">
        <v>252744.77250643598</v>
      </c>
      <c r="Q15" s="409">
        <f t="shared" si="4"/>
        <v>0</v>
      </c>
      <c r="R15" s="409">
        <f t="shared" si="5"/>
        <v>42391920.729999997</v>
      </c>
      <c r="S15" s="410">
        <f t="shared" si="6"/>
        <v>34585368.937614448</v>
      </c>
      <c r="T15" s="409">
        <f t="shared" si="7"/>
        <v>34585368.937614448</v>
      </c>
      <c r="U15" s="411">
        <f t="shared" si="8"/>
        <v>12149840</v>
      </c>
      <c r="V15" s="411">
        <f t="shared" si="9"/>
        <v>7806551.7923855484</v>
      </c>
      <c r="W15" s="412">
        <v>0</v>
      </c>
      <c r="X15" s="412">
        <v>0</v>
      </c>
      <c r="Y15" s="411">
        <f t="shared" si="10"/>
        <v>34585368.939999998</v>
      </c>
      <c r="Z15" s="411">
        <f t="shared" si="10"/>
        <v>12149840</v>
      </c>
      <c r="AA15" s="411">
        <f t="shared" si="11"/>
        <v>34585368.939999998</v>
      </c>
      <c r="AB15" s="383"/>
      <c r="AC15" s="413"/>
      <c r="AD15" s="413" t="str">
        <f t="shared" si="12"/>
        <v/>
      </c>
      <c r="AE15" s="414" t="str">
        <f>IF($AD15="","",COUNTIFS($AD$14:AD15,"Yes"))</f>
        <v/>
      </c>
      <c r="AF15" s="413" t="b">
        <f>IF(C15="", "", AND(INDEX('Summary Dynamic'!$D$8:$D$10, MATCH(H15, 'Summary Dynamic'!$C$8:$C$10, 0))="Include", INDEX('Summary Dynamic'!$D$12:$D$14, MATCH(I15, 'Summary Dynamic'!$C$12:$C$14, 0))="Include", INDEX('Summary Dynamic'!$D$16:$D$17, MATCH(J15, 'Summary Dynamic'!$C$16:$C$17, 0))="Include", INDEX('Summary Dynamic'!$D$19:$D$20, MATCH(K15, 'Summary Dynamic'!$C$19:$C$20, 0))="Include", INDEX('Summary Dynamic'!$D$22:$D$23, MATCH(L15, 'Summary Dynamic'!$C$22:$C$23, 0))="Include", INDEX('Summary Dynamic'!$D$25:$D$26, MATCH(M15, 'Summary Dynamic'!$C$25:$C$26, 0))="Include"))</f>
        <v>1</v>
      </c>
      <c r="AG15" s="414">
        <f>IFERROR(IF(C15="", "", IF(AF15=TRUE, COUNTIFS($AF$14:AF15, TRUE), "n/a")), "n/a")</f>
        <v>2</v>
      </c>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3"/>
      <c r="DV15" s="353"/>
      <c r="DW15" s="353"/>
      <c r="DX15" s="353"/>
      <c r="DY15" s="353"/>
      <c r="DZ15" s="353"/>
      <c r="EA15" s="353"/>
      <c r="EB15" s="353"/>
      <c r="EC15" s="353"/>
      <c r="ED15" s="353"/>
      <c r="EE15" s="353"/>
      <c r="EF15" s="353"/>
      <c r="EG15" s="353"/>
      <c r="EH15" s="353"/>
      <c r="EI15" s="353"/>
      <c r="EJ15" s="353"/>
      <c r="EK15" s="353"/>
      <c r="EL15" s="353"/>
      <c r="EM15" s="353"/>
      <c r="EN15" s="353"/>
      <c r="EO15" s="353"/>
      <c r="EP15" s="353"/>
      <c r="EQ15" s="353"/>
      <c r="ER15" s="353"/>
      <c r="ES15" s="353"/>
      <c r="ET15" s="353"/>
      <c r="EU15" s="353"/>
      <c r="EV15" s="353"/>
      <c r="EW15" s="353"/>
      <c r="EX15" s="353"/>
      <c r="EY15" s="353"/>
      <c r="EZ15" s="353"/>
      <c r="FA15" s="353"/>
      <c r="FB15" s="353"/>
      <c r="FC15" s="353"/>
      <c r="FD15" s="353"/>
      <c r="FE15" s="353"/>
      <c r="FF15" s="353"/>
      <c r="FG15" s="353"/>
      <c r="FH15" s="353"/>
      <c r="FI15" s="353"/>
      <c r="FJ15" s="353"/>
      <c r="FK15" s="353"/>
      <c r="FL15" s="353"/>
      <c r="FM15" s="353"/>
      <c r="FN15" s="353"/>
      <c r="FO15" s="353"/>
      <c r="FP15" s="353"/>
      <c r="FQ15" s="353"/>
      <c r="FR15" s="353"/>
      <c r="FS15" s="353"/>
      <c r="FT15" s="353"/>
      <c r="FU15" s="353"/>
      <c r="FV15" s="353"/>
      <c r="FW15" s="353"/>
      <c r="FX15" s="353"/>
      <c r="FY15" s="353"/>
      <c r="FZ15" s="353"/>
      <c r="GA15" s="353"/>
      <c r="GB15" s="353"/>
      <c r="GC15" s="353"/>
      <c r="GD15" s="353"/>
      <c r="GE15" s="353"/>
      <c r="GF15" s="353"/>
      <c r="GG15" s="353"/>
      <c r="GH15" s="353"/>
      <c r="GI15" s="353"/>
      <c r="GJ15" s="353"/>
      <c r="GK15" s="353"/>
      <c r="GL15" s="353"/>
      <c r="GM15" s="353"/>
      <c r="GN15" s="353"/>
      <c r="GO15" s="353"/>
      <c r="GP15" s="353"/>
      <c r="GQ15" s="353"/>
      <c r="GR15" s="353"/>
      <c r="GS15" s="353"/>
      <c r="GT15" s="353"/>
      <c r="GU15" s="353"/>
      <c r="GV15" s="353"/>
      <c r="GW15" s="353"/>
      <c r="GX15" s="353"/>
      <c r="GY15" s="353"/>
      <c r="GZ15" s="353"/>
      <c r="HA15" s="353"/>
      <c r="HB15" s="353"/>
      <c r="HC15" s="353"/>
      <c r="HD15" s="353"/>
      <c r="HE15" s="353"/>
      <c r="HF15" s="353"/>
      <c r="HG15" s="353"/>
      <c r="HH15" s="353"/>
      <c r="HI15" s="353"/>
      <c r="HJ15" s="353"/>
      <c r="HK15" s="353"/>
      <c r="HL15" s="353"/>
      <c r="HM15" s="353"/>
      <c r="HN15" s="353"/>
      <c r="HO15" s="353"/>
      <c r="HP15" s="353"/>
      <c r="HQ15" s="353"/>
      <c r="HR15" s="353"/>
      <c r="HS15" s="353"/>
      <c r="HT15" s="353"/>
      <c r="HU15" s="353"/>
      <c r="HV15" s="353"/>
      <c r="HW15" s="353"/>
      <c r="HX15" s="353"/>
      <c r="HY15" s="353"/>
      <c r="HZ15" s="353"/>
      <c r="IA15" s="353"/>
      <c r="IB15" s="353"/>
      <c r="IC15" s="353"/>
      <c r="ID15" s="353"/>
      <c r="IE15" s="353"/>
      <c r="IF15" s="353"/>
      <c r="IG15" s="353"/>
      <c r="IH15" s="353"/>
      <c r="II15" s="353"/>
      <c r="IJ15" s="353"/>
      <c r="IK15" s="353"/>
      <c r="IL15" s="353"/>
      <c r="IM15" s="353"/>
      <c r="IN15" s="353"/>
      <c r="IO15" s="353"/>
      <c r="IP15" s="353"/>
      <c r="IQ15" s="353"/>
      <c r="IR15" s="353"/>
      <c r="IS15" s="353"/>
      <c r="IT15" s="353"/>
      <c r="IU15" s="353"/>
      <c r="IV15" s="353"/>
      <c r="IW15" s="353"/>
      <c r="IX15" s="353"/>
      <c r="IY15" s="353"/>
      <c r="IZ15" s="353"/>
      <c r="JA15" s="353"/>
      <c r="JB15" s="353"/>
      <c r="JC15" s="353"/>
      <c r="JD15" s="353"/>
      <c r="JE15" s="353"/>
      <c r="JF15" s="353"/>
      <c r="JG15" s="353"/>
      <c r="JH15" s="353"/>
      <c r="JI15" s="353"/>
      <c r="JJ15" s="353"/>
      <c r="JK15" s="353"/>
      <c r="JL15" s="353"/>
      <c r="JM15" s="353"/>
      <c r="JN15" s="353"/>
      <c r="JO15" s="353"/>
      <c r="JP15" s="353"/>
      <c r="JQ15" s="353"/>
      <c r="JR15" s="353"/>
      <c r="JS15" s="353"/>
      <c r="JT15" s="353"/>
      <c r="JU15" s="353"/>
      <c r="JV15" s="353"/>
      <c r="JW15" s="353"/>
      <c r="JX15" s="353"/>
      <c r="JY15" s="353"/>
      <c r="JZ15" s="353"/>
      <c r="KA15" s="353"/>
      <c r="KB15" s="353"/>
      <c r="KC15" s="353"/>
      <c r="KD15" s="353"/>
      <c r="KE15" s="353"/>
      <c r="KF15" s="353"/>
      <c r="KG15" s="353"/>
      <c r="KH15" s="353"/>
      <c r="KI15" s="353"/>
      <c r="KJ15" s="353"/>
      <c r="KK15" s="353"/>
      <c r="KL15" s="353"/>
      <c r="KM15" s="353"/>
      <c r="KN15" s="353"/>
      <c r="KO15" s="353"/>
      <c r="KP15" s="353"/>
      <c r="KQ15" s="353"/>
      <c r="KR15" s="353"/>
      <c r="KS15" s="353"/>
      <c r="KT15" s="353"/>
      <c r="KU15" s="353"/>
      <c r="KV15" s="353"/>
      <c r="KW15" s="353"/>
      <c r="KX15" s="353"/>
      <c r="KY15" s="353"/>
      <c r="KZ15" s="353"/>
      <c r="LA15" s="353"/>
      <c r="LB15" s="353"/>
      <c r="LC15" s="353"/>
      <c r="LD15" s="353"/>
      <c r="LE15" s="353"/>
      <c r="LF15" s="353"/>
      <c r="LG15" s="353"/>
      <c r="LH15" s="353"/>
      <c r="LI15" s="353"/>
      <c r="LJ15" s="353"/>
      <c r="LK15" s="353"/>
      <c r="LL15" s="353"/>
      <c r="LM15" s="353"/>
      <c r="LN15" s="353"/>
      <c r="LO15" s="353"/>
      <c r="LP15" s="353"/>
      <c r="LQ15" s="353"/>
      <c r="LR15" s="353"/>
      <c r="LS15" s="353"/>
      <c r="LT15" s="353"/>
      <c r="LU15" s="353"/>
      <c r="LV15" s="353"/>
      <c r="LW15" s="353"/>
      <c r="LX15" s="353"/>
      <c r="LY15" s="353"/>
      <c r="LZ15" s="353"/>
      <c r="MA15" s="353"/>
      <c r="MB15" s="353"/>
      <c r="MC15" s="353"/>
      <c r="MD15" s="353"/>
      <c r="ME15" s="353"/>
      <c r="MF15" s="353"/>
      <c r="MG15" s="353"/>
      <c r="MH15" s="353"/>
      <c r="MI15" s="353"/>
      <c r="MJ15" s="353"/>
      <c r="MK15" s="353"/>
      <c r="ML15" s="353"/>
      <c r="MM15" s="353"/>
      <c r="MN15" s="353"/>
      <c r="MO15" s="353"/>
      <c r="MP15" s="353"/>
      <c r="MQ15" s="353"/>
      <c r="MR15" s="353"/>
      <c r="MS15" s="353"/>
      <c r="MT15" s="353"/>
      <c r="MU15" s="353"/>
      <c r="MV15" s="353"/>
      <c r="MW15" s="353"/>
      <c r="MX15" s="353"/>
      <c r="MY15" s="353"/>
      <c r="MZ15" s="353"/>
      <c r="NA15" s="353"/>
      <c r="NB15" s="353"/>
      <c r="NC15" s="353"/>
      <c r="ND15" s="353"/>
      <c r="NE15" s="353"/>
      <c r="NF15" s="353"/>
      <c r="NG15" s="353"/>
      <c r="NH15" s="353"/>
      <c r="NI15" s="353"/>
      <c r="NJ15" s="353"/>
      <c r="NK15" s="353"/>
      <c r="NL15" s="353"/>
      <c r="NM15" s="353"/>
      <c r="NN15" s="353"/>
      <c r="NO15" s="353"/>
      <c r="NP15" s="353"/>
      <c r="NQ15" s="353"/>
      <c r="NR15" s="353"/>
      <c r="NS15" s="353"/>
      <c r="NT15" s="353"/>
      <c r="NU15" s="353"/>
      <c r="NV15" s="353"/>
      <c r="NW15" s="353"/>
      <c r="NX15" s="353"/>
      <c r="NY15" s="353"/>
      <c r="NZ15" s="353"/>
      <c r="OA15" s="353"/>
      <c r="OB15" s="353"/>
      <c r="OC15" s="353"/>
      <c r="OD15" s="353"/>
      <c r="OE15" s="353"/>
      <c r="OF15" s="353"/>
      <c r="OG15" s="353"/>
      <c r="OH15" s="353"/>
      <c r="OI15" s="353"/>
      <c r="OJ15" s="353"/>
      <c r="OK15" s="353"/>
      <c r="OL15" s="353"/>
      <c r="OM15" s="353"/>
      <c r="ON15" s="353"/>
      <c r="OO15" s="353"/>
      <c r="OP15" s="353"/>
      <c r="OQ15" s="353"/>
      <c r="OR15" s="353"/>
      <c r="OS15" s="353"/>
      <c r="OT15" s="353"/>
      <c r="OU15" s="353"/>
      <c r="OV15" s="353"/>
      <c r="OW15" s="353"/>
      <c r="OX15" s="353"/>
      <c r="OY15" s="353"/>
      <c r="OZ15" s="353"/>
      <c r="PA15" s="353"/>
      <c r="PB15" s="353"/>
      <c r="PC15" s="353"/>
      <c r="PD15" s="353"/>
      <c r="PE15" s="353"/>
      <c r="PF15" s="353"/>
      <c r="PG15" s="353"/>
      <c r="PH15" s="353"/>
      <c r="PI15" s="353"/>
      <c r="PJ15" s="353"/>
      <c r="PK15" s="353"/>
      <c r="PL15" s="353"/>
      <c r="PM15" s="353"/>
      <c r="PN15" s="353"/>
      <c r="PO15" s="353"/>
      <c r="PP15" s="353"/>
      <c r="PQ15" s="353"/>
      <c r="PR15" s="353"/>
      <c r="PS15" s="353"/>
      <c r="PT15" s="353"/>
      <c r="PU15" s="353"/>
      <c r="PV15" s="353"/>
      <c r="PW15" s="353"/>
      <c r="PX15" s="353"/>
      <c r="PY15" s="353"/>
      <c r="PZ15" s="353"/>
      <c r="QA15" s="353"/>
      <c r="QB15" s="353"/>
      <c r="QC15" s="353"/>
      <c r="QD15" s="353"/>
      <c r="QE15" s="353"/>
      <c r="QF15" s="353"/>
      <c r="QG15" s="353"/>
      <c r="QH15" s="353"/>
      <c r="QI15" s="353"/>
      <c r="QJ15" s="353"/>
      <c r="QK15" s="353"/>
      <c r="QL15" s="353"/>
      <c r="QM15" s="353"/>
      <c r="QN15" s="353"/>
      <c r="QO15" s="353"/>
      <c r="QP15" s="353"/>
      <c r="QQ15" s="353"/>
      <c r="QR15" s="353"/>
      <c r="QS15" s="353"/>
      <c r="QT15" s="353"/>
      <c r="QU15" s="353"/>
      <c r="QV15" s="353"/>
      <c r="QW15" s="353"/>
      <c r="QX15" s="353"/>
      <c r="QY15" s="353"/>
      <c r="QZ15" s="353"/>
      <c r="RA15" s="353"/>
      <c r="RB15" s="353"/>
      <c r="RC15" s="353"/>
      <c r="RD15" s="353"/>
      <c r="RE15" s="353"/>
      <c r="RF15" s="353"/>
      <c r="RG15" s="353"/>
      <c r="RH15" s="353"/>
      <c r="RI15" s="353"/>
      <c r="RJ15" s="353"/>
      <c r="RK15" s="353"/>
      <c r="RL15" s="353"/>
      <c r="RM15" s="353"/>
      <c r="RN15" s="353"/>
      <c r="RO15" s="353"/>
      <c r="RP15" s="353"/>
      <c r="RQ15" s="353"/>
      <c r="RR15" s="353"/>
      <c r="RS15" s="353"/>
      <c r="RT15" s="353"/>
      <c r="RU15" s="353"/>
      <c r="RV15" s="353"/>
      <c r="RW15" s="353"/>
      <c r="RX15" s="353"/>
      <c r="RY15" s="353"/>
      <c r="RZ15" s="353"/>
      <c r="SA15" s="353"/>
      <c r="SB15" s="353"/>
      <c r="SC15" s="353"/>
      <c r="SD15" s="353"/>
      <c r="SE15" s="353"/>
      <c r="SF15" s="353"/>
      <c r="SG15" s="353"/>
      <c r="SH15" s="353"/>
      <c r="SI15" s="353"/>
      <c r="SJ15" s="353"/>
      <c r="SK15" s="353"/>
      <c r="SL15" s="353"/>
      <c r="SM15" s="353"/>
      <c r="SN15" s="353"/>
      <c r="SO15" s="353"/>
      <c r="SP15" s="353"/>
      <c r="SQ15" s="353"/>
      <c r="SR15" s="353"/>
      <c r="SS15" s="353"/>
      <c r="ST15" s="353"/>
      <c r="SU15" s="353"/>
      <c r="SV15" s="353"/>
      <c r="SW15" s="353"/>
      <c r="SX15" s="353"/>
      <c r="SY15" s="353"/>
      <c r="SZ15" s="353"/>
      <c r="TA15" s="353"/>
      <c r="TB15" s="353"/>
      <c r="TC15" s="353"/>
      <c r="TD15" s="353"/>
      <c r="TE15" s="353"/>
      <c r="TF15" s="353"/>
      <c r="TG15" s="353"/>
      <c r="TH15" s="353"/>
      <c r="TI15" s="353"/>
      <c r="TJ15" s="353"/>
      <c r="TK15" s="353"/>
      <c r="TL15" s="353"/>
      <c r="TM15" s="353"/>
      <c r="TN15" s="353"/>
      <c r="TO15" s="353"/>
      <c r="TP15" s="353"/>
      <c r="TQ15" s="353"/>
      <c r="TR15" s="353"/>
      <c r="TS15" s="353"/>
      <c r="TT15" s="353"/>
      <c r="TU15" s="353"/>
      <c r="TV15" s="353"/>
      <c r="TW15" s="353"/>
      <c r="TX15" s="353"/>
      <c r="TY15" s="353"/>
      <c r="TZ15" s="353"/>
      <c r="UA15" s="353"/>
      <c r="UB15" s="353"/>
      <c r="UC15" s="353"/>
      <c r="UD15" s="353"/>
      <c r="UE15" s="353"/>
      <c r="UF15" s="353"/>
      <c r="UG15" s="353"/>
      <c r="UH15" s="353"/>
      <c r="UI15" s="353"/>
      <c r="UJ15" s="353"/>
      <c r="UK15" s="353"/>
      <c r="UL15" s="353"/>
      <c r="UM15" s="353"/>
      <c r="UN15" s="353"/>
      <c r="UO15" s="353"/>
      <c r="UP15" s="353"/>
      <c r="UQ15" s="353"/>
      <c r="UR15" s="353"/>
      <c r="US15" s="353"/>
      <c r="UT15" s="353"/>
      <c r="UU15" s="353"/>
      <c r="UV15" s="353"/>
      <c r="UW15" s="353"/>
      <c r="UX15" s="353"/>
      <c r="UY15" s="353"/>
      <c r="UZ15" s="353"/>
      <c r="VA15" s="353"/>
      <c r="VB15" s="353"/>
      <c r="VC15" s="353"/>
      <c r="VD15" s="353"/>
      <c r="VE15" s="353"/>
      <c r="VF15" s="353"/>
      <c r="VG15" s="353"/>
      <c r="VH15" s="353"/>
      <c r="VI15" s="353"/>
      <c r="VJ15" s="353"/>
      <c r="VK15" s="353"/>
      <c r="VL15" s="353"/>
      <c r="VM15" s="353"/>
      <c r="VN15" s="353"/>
      <c r="VO15" s="353"/>
      <c r="VP15" s="353"/>
      <c r="VQ15" s="353"/>
      <c r="VR15" s="353"/>
      <c r="VS15" s="353"/>
      <c r="VT15" s="353"/>
      <c r="VU15" s="353"/>
      <c r="VV15" s="353"/>
      <c r="VW15" s="353"/>
      <c r="VX15" s="353"/>
      <c r="VY15" s="353"/>
      <c r="VZ15" s="353"/>
      <c r="WA15" s="353"/>
      <c r="WB15" s="353"/>
      <c r="WC15" s="353"/>
      <c r="WD15" s="353"/>
      <c r="WE15" s="353"/>
      <c r="WF15" s="353"/>
      <c r="WG15" s="353"/>
      <c r="WH15" s="353"/>
      <c r="WI15" s="353"/>
      <c r="WJ15" s="353"/>
      <c r="WK15" s="353"/>
      <c r="WL15" s="353"/>
      <c r="WM15" s="353"/>
      <c r="WN15" s="353"/>
      <c r="WO15" s="353"/>
      <c r="WP15" s="353"/>
      <c r="WQ15" s="353"/>
      <c r="WR15" s="353"/>
      <c r="WS15" s="353"/>
      <c r="WT15" s="353"/>
      <c r="WU15" s="353"/>
      <c r="WV15" s="353"/>
      <c r="WW15" s="353"/>
      <c r="WX15" s="353"/>
      <c r="WY15" s="353"/>
      <c r="WZ15" s="353"/>
      <c r="XA15" s="353"/>
      <c r="XB15" s="353"/>
      <c r="XC15" s="353"/>
      <c r="XD15" s="353"/>
      <c r="XE15" s="353"/>
      <c r="XF15" s="353"/>
      <c r="XG15" s="353"/>
      <c r="XH15" s="353"/>
      <c r="XI15" s="353"/>
      <c r="XJ15" s="353"/>
      <c r="XK15" s="353"/>
      <c r="XL15" s="353"/>
      <c r="XM15" s="353"/>
      <c r="XN15" s="353"/>
      <c r="XO15" s="353"/>
      <c r="XP15" s="353"/>
      <c r="XQ15" s="353"/>
      <c r="XR15" s="353"/>
      <c r="XS15" s="353"/>
      <c r="XT15" s="353"/>
      <c r="XU15" s="353"/>
      <c r="XV15" s="353"/>
      <c r="XW15" s="353"/>
      <c r="XX15" s="353"/>
      <c r="XY15" s="353"/>
      <c r="XZ15" s="353"/>
      <c r="YA15" s="353"/>
      <c r="YB15" s="353"/>
      <c r="YC15" s="353"/>
      <c r="YD15" s="353"/>
      <c r="YE15" s="353"/>
      <c r="YF15" s="353"/>
      <c r="YG15" s="353"/>
      <c r="YH15" s="353"/>
      <c r="YI15" s="353"/>
      <c r="YJ15" s="353"/>
      <c r="YK15" s="353"/>
      <c r="YL15" s="353"/>
      <c r="YM15" s="353"/>
      <c r="YN15" s="353"/>
      <c r="YO15" s="353"/>
      <c r="YP15" s="353"/>
      <c r="YQ15" s="353"/>
      <c r="YR15" s="353"/>
      <c r="YS15" s="353"/>
      <c r="YT15" s="353"/>
      <c r="YU15" s="353"/>
      <c r="YV15" s="353"/>
      <c r="YW15" s="353"/>
      <c r="YX15" s="353"/>
      <c r="YY15" s="353"/>
      <c r="YZ15" s="353"/>
      <c r="ZA15" s="353"/>
      <c r="ZB15" s="353"/>
      <c r="ZC15" s="353"/>
      <c r="ZD15" s="353"/>
      <c r="ZE15" s="353"/>
      <c r="ZF15" s="353"/>
      <c r="ZG15" s="353"/>
      <c r="ZH15" s="353"/>
      <c r="ZI15" s="353"/>
      <c r="ZJ15" s="353"/>
      <c r="ZK15" s="353"/>
      <c r="ZL15" s="353"/>
      <c r="ZM15" s="353"/>
      <c r="ZN15" s="353"/>
      <c r="ZO15" s="353"/>
      <c r="ZP15" s="353"/>
      <c r="ZQ15" s="353"/>
      <c r="ZR15" s="353"/>
      <c r="ZS15" s="353"/>
      <c r="ZT15" s="353"/>
      <c r="ZU15" s="353"/>
      <c r="ZV15" s="353"/>
      <c r="ZW15" s="353"/>
      <c r="ZX15" s="353"/>
      <c r="ZY15" s="353"/>
      <c r="ZZ15" s="353"/>
      <c r="AAA15" s="353"/>
      <c r="AAB15" s="353"/>
      <c r="AAC15" s="353"/>
      <c r="AAD15" s="353"/>
      <c r="AAE15" s="353"/>
      <c r="AAF15" s="353"/>
      <c r="AAG15" s="353"/>
      <c r="AAH15" s="353"/>
      <c r="AAI15" s="353"/>
      <c r="AAJ15" s="353"/>
      <c r="AAK15" s="353"/>
      <c r="AAL15" s="353"/>
      <c r="AAM15" s="353"/>
      <c r="AAN15" s="353"/>
      <c r="AAO15" s="353"/>
      <c r="AAP15" s="353"/>
      <c r="AAQ15" s="353"/>
      <c r="AAR15" s="353"/>
      <c r="AAS15" s="353"/>
      <c r="AAT15" s="353"/>
      <c r="AAU15" s="353"/>
      <c r="AAV15" s="353"/>
      <c r="AAW15" s="353"/>
      <c r="AAX15" s="353"/>
      <c r="AAY15" s="353"/>
      <c r="AAZ15" s="353"/>
      <c r="ABA15" s="353"/>
      <c r="ABB15" s="353"/>
      <c r="ABC15" s="353"/>
      <c r="ABD15" s="353"/>
      <c r="ABE15" s="353"/>
      <c r="ABF15" s="353"/>
      <c r="ABG15" s="353"/>
      <c r="ABH15" s="353"/>
      <c r="ABI15" s="353"/>
      <c r="ABJ15" s="353"/>
      <c r="ABK15" s="353"/>
      <c r="ABL15" s="353"/>
      <c r="ABM15" s="353"/>
      <c r="ABN15" s="353"/>
      <c r="ABO15" s="353"/>
      <c r="ABP15" s="353"/>
      <c r="ABQ15" s="353"/>
      <c r="ABR15" s="353"/>
      <c r="ABS15" s="353"/>
      <c r="ABT15" s="353"/>
      <c r="ABU15" s="353"/>
      <c r="ABV15" s="353"/>
      <c r="ABW15" s="353"/>
      <c r="ABX15" s="353"/>
      <c r="ABY15" s="353"/>
      <c r="ABZ15" s="353"/>
      <c r="ACA15" s="353"/>
      <c r="ACB15" s="353"/>
      <c r="ACC15" s="353"/>
      <c r="ACD15" s="353"/>
      <c r="ACE15" s="353"/>
      <c r="ACF15" s="353"/>
      <c r="ACG15" s="353"/>
      <c r="ACH15" s="353"/>
      <c r="ACI15" s="353"/>
      <c r="ACJ15" s="353"/>
      <c r="ACK15" s="353"/>
      <c r="ACL15" s="353"/>
      <c r="ACM15" s="353"/>
      <c r="ACN15" s="353"/>
      <c r="ACO15" s="353"/>
      <c r="ACP15" s="353"/>
      <c r="ACQ15" s="353"/>
      <c r="ACR15" s="353"/>
      <c r="ACS15" s="353"/>
      <c r="ACT15" s="353"/>
      <c r="ACU15" s="353"/>
      <c r="ACV15" s="353"/>
      <c r="ACW15" s="353"/>
      <c r="ACX15" s="353"/>
      <c r="ACY15" s="353"/>
      <c r="ACZ15" s="353"/>
      <c r="ADA15" s="353"/>
      <c r="ADB15" s="353"/>
      <c r="ADC15" s="353"/>
      <c r="ADD15" s="353"/>
      <c r="ADE15" s="353"/>
      <c r="ADF15" s="353"/>
      <c r="ADG15" s="353"/>
      <c r="ADH15" s="353"/>
      <c r="ADI15" s="353"/>
      <c r="ADJ15" s="353"/>
      <c r="ADK15" s="353"/>
      <c r="ADL15" s="353"/>
      <c r="ADM15" s="353"/>
      <c r="ADN15" s="353"/>
      <c r="ADO15" s="353"/>
      <c r="ADP15" s="353"/>
      <c r="ADQ15" s="353"/>
      <c r="ADR15" s="353"/>
      <c r="ADS15" s="353"/>
      <c r="ADT15" s="353"/>
      <c r="ADU15" s="353"/>
      <c r="ADV15" s="353"/>
      <c r="ADW15" s="353"/>
      <c r="ADX15" s="353"/>
      <c r="ADY15" s="353"/>
      <c r="ADZ15" s="353"/>
      <c r="AEA15" s="353"/>
      <c r="AEB15" s="353"/>
      <c r="AEC15" s="353"/>
      <c r="AED15" s="353"/>
      <c r="AEE15" s="353"/>
      <c r="AEF15" s="353"/>
      <c r="AEG15" s="353"/>
      <c r="AEH15" s="353"/>
      <c r="AEI15" s="353"/>
      <c r="AEJ15" s="353"/>
      <c r="AEK15" s="353"/>
      <c r="AEL15" s="353"/>
      <c r="AEM15" s="353"/>
      <c r="AEN15" s="353"/>
      <c r="AEO15" s="353"/>
      <c r="AEP15" s="353"/>
      <c r="AEQ15" s="353"/>
      <c r="AER15" s="353"/>
      <c r="AES15" s="353"/>
      <c r="AET15" s="353"/>
      <c r="AEU15" s="353"/>
      <c r="AEV15" s="353"/>
      <c r="AEW15" s="353"/>
      <c r="AEX15" s="353"/>
      <c r="AEY15" s="353"/>
      <c r="AEZ15" s="353"/>
      <c r="AFA15" s="353"/>
      <c r="AFB15" s="353"/>
      <c r="AFC15" s="353"/>
      <c r="AFD15" s="353"/>
      <c r="AFE15" s="353"/>
      <c r="AFF15" s="353"/>
      <c r="AFG15" s="353"/>
      <c r="AFH15" s="353"/>
      <c r="AFI15" s="353"/>
      <c r="AFJ15" s="353"/>
      <c r="AFK15" s="353"/>
      <c r="AFL15" s="353"/>
      <c r="AFM15" s="353"/>
      <c r="AFN15" s="353"/>
      <c r="AFO15" s="353"/>
      <c r="AFP15" s="353"/>
      <c r="AFQ15" s="353"/>
      <c r="AFR15" s="353"/>
      <c r="AFS15" s="353"/>
      <c r="AFT15" s="353"/>
      <c r="AFU15" s="353"/>
      <c r="AFV15" s="353"/>
      <c r="AFW15" s="353"/>
      <c r="AFX15" s="353"/>
      <c r="AFY15" s="353"/>
      <c r="AFZ15" s="353"/>
      <c r="AGA15" s="353"/>
      <c r="AGB15" s="353"/>
      <c r="AGC15" s="353"/>
      <c r="AGD15" s="353"/>
      <c r="AGE15" s="353"/>
      <c r="AGF15" s="353"/>
      <c r="AGG15" s="353"/>
      <c r="AGH15" s="353"/>
      <c r="AGI15" s="353"/>
      <c r="AGJ15" s="353"/>
      <c r="AGK15" s="353"/>
      <c r="AGL15" s="353"/>
      <c r="AGM15" s="353"/>
      <c r="AGN15" s="353"/>
      <c r="AGO15" s="353"/>
      <c r="AGP15" s="353"/>
      <c r="AGQ15" s="353"/>
      <c r="AGR15" s="353"/>
      <c r="AGS15" s="353"/>
      <c r="AGT15" s="353"/>
      <c r="AGU15" s="353"/>
      <c r="AGV15" s="353"/>
      <c r="AGW15" s="353"/>
      <c r="AGX15" s="353"/>
      <c r="AGY15" s="353"/>
      <c r="AGZ15" s="353"/>
      <c r="AHA15" s="353"/>
      <c r="AHB15" s="353"/>
      <c r="AHC15" s="353"/>
      <c r="AHD15" s="353"/>
      <c r="AHE15" s="353"/>
      <c r="AHF15" s="353"/>
      <c r="AHG15" s="353"/>
      <c r="AHH15" s="353"/>
      <c r="AHI15" s="353"/>
      <c r="AHJ15" s="353"/>
      <c r="AHK15" s="353"/>
      <c r="AHL15" s="353"/>
      <c r="AHM15" s="353"/>
      <c r="AHN15" s="353"/>
      <c r="AHO15" s="353"/>
      <c r="AHP15" s="353"/>
      <c r="AHQ15" s="353"/>
      <c r="AHR15" s="353"/>
      <c r="AHS15" s="353"/>
      <c r="AHT15" s="353"/>
      <c r="AHU15" s="353"/>
      <c r="AHV15" s="353"/>
      <c r="AHW15" s="353"/>
      <c r="AHX15" s="353"/>
      <c r="AHY15" s="353"/>
      <c r="AHZ15" s="353"/>
      <c r="AIA15" s="353"/>
      <c r="AIB15" s="353"/>
      <c r="AIC15" s="353"/>
      <c r="AID15" s="353"/>
      <c r="AIE15" s="353"/>
      <c r="AIF15" s="353"/>
      <c r="AIG15" s="353"/>
      <c r="AIH15" s="353"/>
      <c r="AII15" s="353"/>
      <c r="AIJ15" s="353"/>
      <c r="AIK15" s="353"/>
      <c r="AIL15" s="353"/>
      <c r="AIM15" s="353"/>
      <c r="AIN15" s="353"/>
      <c r="AIO15" s="353"/>
      <c r="AIP15" s="353"/>
      <c r="AIQ15" s="353"/>
      <c r="AIR15" s="353"/>
      <c r="AIS15" s="353"/>
      <c r="AIT15" s="353"/>
      <c r="AIU15" s="353"/>
      <c r="AIV15" s="353"/>
      <c r="AIW15" s="353"/>
      <c r="AIX15" s="353"/>
      <c r="AIY15" s="353"/>
      <c r="AIZ15" s="353"/>
      <c r="AJA15" s="353"/>
      <c r="AJB15" s="353"/>
      <c r="AJC15" s="353"/>
      <c r="AJD15" s="353"/>
      <c r="AJE15" s="353"/>
      <c r="AJF15" s="353"/>
      <c r="AJG15" s="353"/>
      <c r="AJH15" s="353"/>
      <c r="AJI15" s="353"/>
      <c r="AJJ15" s="353"/>
      <c r="AJK15" s="353"/>
      <c r="AJL15" s="353"/>
      <c r="AJM15" s="353"/>
      <c r="AJN15" s="353"/>
      <c r="AJO15" s="353"/>
      <c r="AJP15" s="353"/>
      <c r="AJQ15" s="353"/>
      <c r="AJR15" s="353"/>
      <c r="AJS15" s="353"/>
      <c r="AJT15" s="353"/>
      <c r="AJU15" s="353"/>
      <c r="AJV15" s="353"/>
      <c r="AJW15" s="353"/>
      <c r="AJX15" s="353"/>
      <c r="AJY15" s="353"/>
      <c r="AJZ15" s="353"/>
      <c r="AKA15" s="353"/>
      <c r="AKB15" s="353"/>
      <c r="AKC15" s="353"/>
      <c r="AKD15" s="353"/>
      <c r="AKE15" s="353"/>
      <c r="AKF15" s="353"/>
      <c r="AKG15" s="353"/>
      <c r="AKH15" s="353"/>
      <c r="AKI15" s="353"/>
      <c r="AKJ15" s="353"/>
      <c r="AKK15" s="353"/>
      <c r="AKL15" s="353"/>
      <c r="AKM15" s="353"/>
      <c r="AKN15" s="353"/>
      <c r="AKO15" s="353"/>
      <c r="AKP15" s="353"/>
      <c r="AKQ15" s="353"/>
      <c r="AKR15" s="353"/>
      <c r="AKS15" s="353"/>
      <c r="AKT15" s="353"/>
      <c r="AKU15" s="353"/>
      <c r="AKV15" s="353"/>
      <c r="AKW15" s="353"/>
      <c r="AKX15" s="353"/>
      <c r="AKY15" s="353"/>
      <c r="AKZ15" s="353"/>
      <c r="ALA15" s="353"/>
      <c r="ALB15" s="353"/>
      <c r="ALC15" s="353"/>
      <c r="ALD15" s="353"/>
      <c r="ALE15" s="353"/>
      <c r="ALF15" s="353"/>
      <c r="ALG15" s="353"/>
      <c r="ALH15" s="353"/>
      <c r="ALI15" s="353"/>
      <c r="ALJ15" s="353"/>
      <c r="ALK15" s="353"/>
      <c r="ALL15" s="353"/>
      <c r="ALM15" s="353"/>
      <c r="ALN15" s="353"/>
      <c r="ALO15" s="353"/>
      <c r="ALP15" s="353"/>
      <c r="ALQ15" s="353"/>
      <c r="ALR15" s="353"/>
      <c r="ALS15" s="353"/>
      <c r="ALT15" s="353"/>
      <c r="ALU15" s="353"/>
      <c r="ALV15" s="353"/>
      <c r="ALW15" s="353"/>
      <c r="ALX15" s="353"/>
      <c r="ALY15" s="353"/>
      <c r="ALZ15" s="353"/>
      <c r="AMA15" s="353"/>
      <c r="AMB15" s="353"/>
      <c r="AMC15" s="353"/>
      <c r="AMD15" s="353"/>
      <c r="AME15" s="353"/>
      <c r="AMF15" s="353"/>
      <c r="AMG15" s="353"/>
      <c r="AMH15" s="353"/>
      <c r="AMI15" s="353"/>
      <c r="AMJ15" s="353"/>
      <c r="AMK15" s="353"/>
      <c r="AML15" s="353"/>
      <c r="AMM15" s="353"/>
      <c r="AMN15" s="353"/>
      <c r="AMO15" s="353"/>
      <c r="AMP15" s="353"/>
    </row>
    <row r="16" spans="1:1030" s="354" customFormat="1" ht="12.75" x14ac:dyDescent="0.2">
      <c r="B16" s="404">
        <f t="shared" si="13"/>
        <v>3</v>
      </c>
      <c r="C16" s="405" t="s">
        <v>133</v>
      </c>
      <c r="D16" s="406" t="s">
        <v>133</v>
      </c>
      <c r="E16" s="406" t="s">
        <v>285</v>
      </c>
      <c r="F16" s="407" t="s">
        <v>134</v>
      </c>
      <c r="G16" s="407" t="s">
        <v>286</v>
      </c>
      <c r="H16" s="408" t="s">
        <v>22</v>
      </c>
      <c r="I16" s="408" t="s">
        <v>21</v>
      </c>
      <c r="J16" s="408" t="s">
        <v>35</v>
      </c>
      <c r="K16" s="408" t="s">
        <v>35</v>
      </c>
      <c r="L16" s="408" t="s">
        <v>35</v>
      </c>
      <c r="M16" s="408" t="s">
        <v>37</v>
      </c>
      <c r="N16" s="409">
        <v>50527592.670000002</v>
      </c>
      <c r="O16" s="409">
        <v>0</v>
      </c>
      <c r="P16" s="409">
        <v>1169811.6759779861</v>
      </c>
      <c r="Q16" s="409">
        <f t="shared" si="4"/>
        <v>0</v>
      </c>
      <c r="R16" s="409">
        <f t="shared" si="5"/>
        <v>50527592.670000002</v>
      </c>
      <c r="S16" s="410">
        <f t="shared" si="6"/>
        <v>41222841.615307331</v>
      </c>
      <c r="T16" s="409">
        <f t="shared" si="7"/>
        <v>41222841.615307331</v>
      </c>
      <c r="U16" s="411">
        <f t="shared" si="8"/>
        <v>14481584</v>
      </c>
      <c r="V16" s="411">
        <f t="shared" si="9"/>
        <v>9304751.0546926707</v>
      </c>
      <c r="W16" s="412">
        <v>0</v>
      </c>
      <c r="X16" s="412">
        <v>0</v>
      </c>
      <c r="Y16" s="411">
        <f t="shared" si="10"/>
        <v>41222841.619999997</v>
      </c>
      <c r="Z16" s="411">
        <f t="shared" si="10"/>
        <v>14481584</v>
      </c>
      <c r="AA16" s="411">
        <f t="shared" si="11"/>
        <v>41222841.619999997</v>
      </c>
      <c r="AB16" s="383"/>
      <c r="AC16" s="413"/>
      <c r="AD16" s="413" t="str">
        <f t="shared" si="12"/>
        <v/>
      </c>
      <c r="AE16" s="414" t="str">
        <f>IF($AD16="","",COUNTIFS($AD$14:AD16,"Yes"))</f>
        <v/>
      </c>
      <c r="AF16" s="413" t="b">
        <f>IF(C16="", "", AND(INDEX('Summary Dynamic'!$D$8:$D$10, MATCH(H16, 'Summary Dynamic'!$C$8:$C$10, 0))="Include", INDEX('Summary Dynamic'!$D$12:$D$14, MATCH(I16, 'Summary Dynamic'!$C$12:$C$14, 0))="Include", INDEX('Summary Dynamic'!$D$16:$D$17, MATCH(J16, 'Summary Dynamic'!$C$16:$C$17, 0))="Include", INDEX('Summary Dynamic'!$D$19:$D$20, MATCH(K16, 'Summary Dynamic'!$C$19:$C$20, 0))="Include", INDEX('Summary Dynamic'!$D$22:$D$23, MATCH(L16, 'Summary Dynamic'!$C$22:$C$23, 0))="Include", INDEX('Summary Dynamic'!$D$25:$D$26, MATCH(M16, 'Summary Dynamic'!$C$25:$C$26, 0))="Include"))</f>
        <v>1</v>
      </c>
      <c r="AG16" s="414">
        <f>IFERROR(IF(C16="", "", IF(AF16=TRUE, COUNTIFS($AF$14:AF16, TRUE), "n/a")), "n/a")</f>
        <v>3</v>
      </c>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3"/>
      <c r="DY16" s="353"/>
      <c r="DZ16" s="353"/>
      <c r="EA16" s="353"/>
      <c r="EB16" s="353"/>
      <c r="EC16" s="353"/>
      <c r="ED16" s="353"/>
      <c r="EE16" s="353"/>
      <c r="EF16" s="353"/>
      <c r="EG16" s="353"/>
      <c r="EH16" s="353"/>
      <c r="EI16" s="353"/>
      <c r="EJ16" s="353"/>
      <c r="EK16" s="353"/>
      <c r="EL16" s="353"/>
      <c r="EM16" s="353"/>
      <c r="EN16" s="353"/>
      <c r="EO16" s="353"/>
      <c r="EP16" s="353"/>
      <c r="EQ16" s="353"/>
      <c r="ER16" s="353"/>
      <c r="ES16" s="353"/>
      <c r="ET16" s="353"/>
      <c r="EU16" s="353"/>
      <c r="EV16" s="353"/>
      <c r="EW16" s="353"/>
      <c r="EX16" s="353"/>
      <c r="EY16" s="353"/>
      <c r="EZ16" s="353"/>
      <c r="FA16" s="353"/>
      <c r="FB16" s="353"/>
      <c r="FC16" s="353"/>
      <c r="FD16" s="353"/>
      <c r="FE16" s="353"/>
      <c r="FF16" s="353"/>
      <c r="FG16" s="353"/>
      <c r="FH16" s="353"/>
      <c r="FI16" s="353"/>
      <c r="FJ16" s="353"/>
      <c r="FK16" s="353"/>
      <c r="FL16" s="353"/>
      <c r="FM16" s="353"/>
      <c r="FN16" s="353"/>
      <c r="FO16" s="353"/>
      <c r="FP16" s="353"/>
      <c r="FQ16" s="353"/>
      <c r="FR16" s="353"/>
      <c r="FS16" s="353"/>
      <c r="FT16" s="353"/>
      <c r="FU16" s="353"/>
      <c r="FV16" s="353"/>
      <c r="FW16" s="353"/>
      <c r="FX16" s="353"/>
      <c r="FY16" s="353"/>
      <c r="FZ16" s="353"/>
      <c r="GA16" s="353"/>
      <c r="GB16" s="353"/>
      <c r="GC16" s="353"/>
      <c r="GD16" s="353"/>
      <c r="GE16" s="353"/>
      <c r="GF16" s="353"/>
      <c r="GG16" s="353"/>
      <c r="GH16" s="353"/>
      <c r="GI16" s="353"/>
      <c r="GJ16" s="353"/>
      <c r="GK16" s="353"/>
      <c r="GL16" s="353"/>
      <c r="GM16" s="353"/>
      <c r="GN16" s="353"/>
      <c r="GO16" s="353"/>
      <c r="GP16" s="353"/>
      <c r="GQ16" s="353"/>
      <c r="GR16" s="353"/>
      <c r="GS16" s="353"/>
      <c r="GT16" s="353"/>
      <c r="GU16" s="353"/>
      <c r="GV16" s="353"/>
      <c r="GW16" s="353"/>
      <c r="GX16" s="353"/>
      <c r="GY16" s="353"/>
      <c r="GZ16" s="353"/>
      <c r="HA16" s="353"/>
      <c r="HB16" s="353"/>
      <c r="HC16" s="353"/>
      <c r="HD16" s="353"/>
      <c r="HE16" s="353"/>
      <c r="HF16" s="353"/>
      <c r="HG16" s="353"/>
      <c r="HH16" s="353"/>
      <c r="HI16" s="353"/>
      <c r="HJ16" s="353"/>
      <c r="HK16" s="353"/>
      <c r="HL16" s="353"/>
      <c r="HM16" s="353"/>
      <c r="HN16" s="353"/>
      <c r="HO16" s="353"/>
      <c r="HP16" s="353"/>
      <c r="HQ16" s="353"/>
      <c r="HR16" s="353"/>
      <c r="HS16" s="353"/>
      <c r="HT16" s="353"/>
      <c r="HU16" s="353"/>
      <c r="HV16" s="353"/>
      <c r="HW16" s="353"/>
      <c r="HX16" s="353"/>
      <c r="HY16" s="353"/>
      <c r="HZ16" s="353"/>
      <c r="IA16" s="353"/>
      <c r="IB16" s="353"/>
      <c r="IC16" s="353"/>
      <c r="ID16" s="353"/>
      <c r="IE16" s="353"/>
      <c r="IF16" s="353"/>
      <c r="IG16" s="353"/>
      <c r="IH16" s="353"/>
      <c r="II16" s="353"/>
      <c r="IJ16" s="353"/>
      <c r="IK16" s="353"/>
      <c r="IL16" s="353"/>
      <c r="IM16" s="353"/>
      <c r="IN16" s="353"/>
      <c r="IO16" s="353"/>
      <c r="IP16" s="353"/>
      <c r="IQ16" s="353"/>
      <c r="IR16" s="353"/>
      <c r="IS16" s="353"/>
      <c r="IT16" s="353"/>
      <c r="IU16" s="353"/>
      <c r="IV16" s="353"/>
      <c r="IW16" s="353"/>
      <c r="IX16" s="353"/>
      <c r="IY16" s="353"/>
      <c r="IZ16" s="353"/>
      <c r="JA16" s="353"/>
      <c r="JB16" s="353"/>
      <c r="JC16" s="353"/>
      <c r="JD16" s="353"/>
      <c r="JE16" s="353"/>
      <c r="JF16" s="353"/>
      <c r="JG16" s="353"/>
      <c r="JH16" s="353"/>
      <c r="JI16" s="353"/>
      <c r="JJ16" s="353"/>
      <c r="JK16" s="353"/>
      <c r="JL16" s="353"/>
      <c r="JM16" s="353"/>
      <c r="JN16" s="353"/>
      <c r="JO16" s="353"/>
      <c r="JP16" s="353"/>
      <c r="JQ16" s="353"/>
      <c r="JR16" s="353"/>
      <c r="JS16" s="353"/>
      <c r="JT16" s="353"/>
      <c r="JU16" s="353"/>
      <c r="JV16" s="353"/>
      <c r="JW16" s="353"/>
      <c r="JX16" s="353"/>
      <c r="JY16" s="353"/>
      <c r="JZ16" s="353"/>
      <c r="KA16" s="353"/>
      <c r="KB16" s="353"/>
      <c r="KC16" s="353"/>
      <c r="KD16" s="353"/>
      <c r="KE16" s="353"/>
      <c r="KF16" s="353"/>
      <c r="KG16" s="353"/>
      <c r="KH16" s="353"/>
      <c r="KI16" s="353"/>
      <c r="KJ16" s="353"/>
      <c r="KK16" s="353"/>
      <c r="KL16" s="353"/>
      <c r="KM16" s="353"/>
      <c r="KN16" s="353"/>
      <c r="KO16" s="353"/>
      <c r="KP16" s="353"/>
      <c r="KQ16" s="353"/>
      <c r="KR16" s="353"/>
      <c r="KS16" s="353"/>
      <c r="KT16" s="353"/>
      <c r="KU16" s="353"/>
      <c r="KV16" s="353"/>
      <c r="KW16" s="353"/>
      <c r="KX16" s="353"/>
      <c r="KY16" s="353"/>
      <c r="KZ16" s="353"/>
      <c r="LA16" s="353"/>
      <c r="LB16" s="353"/>
      <c r="LC16" s="353"/>
      <c r="LD16" s="353"/>
      <c r="LE16" s="353"/>
      <c r="LF16" s="353"/>
      <c r="LG16" s="353"/>
      <c r="LH16" s="353"/>
      <c r="LI16" s="353"/>
      <c r="LJ16" s="353"/>
      <c r="LK16" s="353"/>
      <c r="LL16" s="353"/>
      <c r="LM16" s="353"/>
      <c r="LN16" s="353"/>
      <c r="LO16" s="353"/>
      <c r="LP16" s="353"/>
      <c r="LQ16" s="353"/>
      <c r="LR16" s="353"/>
      <c r="LS16" s="353"/>
      <c r="LT16" s="353"/>
      <c r="LU16" s="353"/>
      <c r="LV16" s="353"/>
      <c r="LW16" s="353"/>
      <c r="LX16" s="353"/>
      <c r="LY16" s="353"/>
      <c r="LZ16" s="353"/>
      <c r="MA16" s="353"/>
      <c r="MB16" s="353"/>
      <c r="MC16" s="353"/>
      <c r="MD16" s="353"/>
      <c r="ME16" s="353"/>
      <c r="MF16" s="353"/>
      <c r="MG16" s="353"/>
      <c r="MH16" s="353"/>
      <c r="MI16" s="353"/>
      <c r="MJ16" s="353"/>
      <c r="MK16" s="353"/>
      <c r="ML16" s="353"/>
      <c r="MM16" s="353"/>
      <c r="MN16" s="353"/>
      <c r="MO16" s="353"/>
      <c r="MP16" s="353"/>
      <c r="MQ16" s="353"/>
      <c r="MR16" s="353"/>
      <c r="MS16" s="353"/>
      <c r="MT16" s="353"/>
      <c r="MU16" s="353"/>
      <c r="MV16" s="353"/>
      <c r="MW16" s="353"/>
      <c r="MX16" s="353"/>
      <c r="MY16" s="353"/>
      <c r="MZ16" s="353"/>
      <c r="NA16" s="353"/>
      <c r="NB16" s="353"/>
      <c r="NC16" s="353"/>
      <c r="ND16" s="353"/>
      <c r="NE16" s="353"/>
      <c r="NF16" s="353"/>
      <c r="NG16" s="353"/>
      <c r="NH16" s="353"/>
      <c r="NI16" s="353"/>
      <c r="NJ16" s="353"/>
      <c r="NK16" s="353"/>
      <c r="NL16" s="353"/>
      <c r="NM16" s="353"/>
      <c r="NN16" s="353"/>
      <c r="NO16" s="353"/>
      <c r="NP16" s="353"/>
      <c r="NQ16" s="353"/>
      <c r="NR16" s="353"/>
      <c r="NS16" s="353"/>
      <c r="NT16" s="353"/>
      <c r="NU16" s="353"/>
      <c r="NV16" s="353"/>
      <c r="NW16" s="353"/>
      <c r="NX16" s="353"/>
      <c r="NY16" s="353"/>
      <c r="NZ16" s="353"/>
      <c r="OA16" s="353"/>
      <c r="OB16" s="353"/>
      <c r="OC16" s="353"/>
      <c r="OD16" s="353"/>
      <c r="OE16" s="353"/>
      <c r="OF16" s="353"/>
      <c r="OG16" s="353"/>
      <c r="OH16" s="353"/>
      <c r="OI16" s="353"/>
      <c r="OJ16" s="353"/>
      <c r="OK16" s="353"/>
      <c r="OL16" s="353"/>
      <c r="OM16" s="353"/>
      <c r="ON16" s="353"/>
      <c r="OO16" s="353"/>
      <c r="OP16" s="353"/>
      <c r="OQ16" s="353"/>
      <c r="OR16" s="353"/>
      <c r="OS16" s="353"/>
      <c r="OT16" s="353"/>
      <c r="OU16" s="353"/>
      <c r="OV16" s="353"/>
      <c r="OW16" s="353"/>
      <c r="OX16" s="353"/>
      <c r="OY16" s="353"/>
      <c r="OZ16" s="353"/>
      <c r="PA16" s="353"/>
      <c r="PB16" s="353"/>
      <c r="PC16" s="353"/>
      <c r="PD16" s="353"/>
      <c r="PE16" s="353"/>
      <c r="PF16" s="353"/>
      <c r="PG16" s="353"/>
      <c r="PH16" s="353"/>
      <c r="PI16" s="353"/>
      <c r="PJ16" s="353"/>
      <c r="PK16" s="353"/>
      <c r="PL16" s="353"/>
      <c r="PM16" s="353"/>
      <c r="PN16" s="353"/>
      <c r="PO16" s="353"/>
      <c r="PP16" s="353"/>
      <c r="PQ16" s="353"/>
      <c r="PR16" s="353"/>
      <c r="PS16" s="353"/>
      <c r="PT16" s="353"/>
      <c r="PU16" s="353"/>
      <c r="PV16" s="353"/>
      <c r="PW16" s="353"/>
      <c r="PX16" s="353"/>
      <c r="PY16" s="353"/>
      <c r="PZ16" s="353"/>
      <c r="QA16" s="353"/>
      <c r="QB16" s="353"/>
      <c r="QC16" s="353"/>
      <c r="QD16" s="353"/>
      <c r="QE16" s="353"/>
      <c r="QF16" s="353"/>
      <c r="QG16" s="353"/>
      <c r="QH16" s="353"/>
      <c r="QI16" s="353"/>
      <c r="QJ16" s="353"/>
      <c r="QK16" s="353"/>
      <c r="QL16" s="353"/>
      <c r="QM16" s="353"/>
      <c r="QN16" s="353"/>
      <c r="QO16" s="353"/>
      <c r="QP16" s="353"/>
      <c r="QQ16" s="353"/>
      <c r="QR16" s="353"/>
      <c r="QS16" s="353"/>
      <c r="QT16" s="353"/>
      <c r="QU16" s="353"/>
      <c r="QV16" s="353"/>
      <c r="QW16" s="353"/>
      <c r="QX16" s="353"/>
      <c r="QY16" s="353"/>
      <c r="QZ16" s="353"/>
      <c r="RA16" s="353"/>
      <c r="RB16" s="353"/>
      <c r="RC16" s="353"/>
      <c r="RD16" s="353"/>
      <c r="RE16" s="353"/>
      <c r="RF16" s="353"/>
      <c r="RG16" s="353"/>
      <c r="RH16" s="353"/>
      <c r="RI16" s="353"/>
      <c r="RJ16" s="353"/>
      <c r="RK16" s="353"/>
      <c r="RL16" s="353"/>
      <c r="RM16" s="353"/>
      <c r="RN16" s="353"/>
      <c r="RO16" s="353"/>
      <c r="RP16" s="353"/>
      <c r="RQ16" s="353"/>
      <c r="RR16" s="353"/>
      <c r="RS16" s="353"/>
      <c r="RT16" s="353"/>
      <c r="RU16" s="353"/>
      <c r="RV16" s="353"/>
      <c r="RW16" s="353"/>
      <c r="RX16" s="353"/>
      <c r="RY16" s="353"/>
      <c r="RZ16" s="353"/>
      <c r="SA16" s="353"/>
      <c r="SB16" s="353"/>
      <c r="SC16" s="353"/>
      <c r="SD16" s="353"/>
      <c r="SE16" s="353"/>
      <c r="SF16" s="353"/>
      <c r="SG16" s="353"/>
      <c r="SH16" s="353"/>
      <c r="SI16" s="353"/>
      <c r="SJ16" s="353"/>
      <c r="SK16" s="353"/>
      <c r="SL16" s="353"/>
      <c r="SM16" s="353"/>
      <c r="SN16" s="353"/>
      <c r="SO16" s="353"/>
      <c r="SP16" s="353"/>
      <c r="SQ16" s="353"/>
      <c r="SR16" s="353"/>
      <c r="SS16" s="353"/>
      <c r="ST16" s="353"/>
      <c r="SU16" s="353"/>
      <c r="SV16" s="353"/>
      <c r="SW16" s="353"/>
      <c r="SX16" s="353"/>
      <c r="SY16" s="353"/>
      <c r="SZ16" s="353"/>
      <c r="TA16" s="353"/>
      <c r="TB16" s="353"/>
      <c r="TC16" s="353"/>
      <c r="TD16" s="353"/>
      <c r="TE16" s="353"/>
      <c r="TF16" s="353"/>
      <c r="TG16" s="353"/>
      <c r="TH16" s="353"/>
      <c r="TI16" s="353"/>
      <c r="TJ16" s="353"/>
      <c r="TK16" s="353"/>
      <c r="TL16" s="353"/>
      <c r="TM16" s="353"/>
      <c r="TN16" s="353"/>
      <c r="TO16" s="353"/>
      <c r="TP16" s="353"/>
      <c r="TQ16" s="353"/>
      <c r="TR16" s="353"/>
      <c r="TS16" s="353"/>
      <c r="TT16" s="353"/>
      <c r="TU16" s="353"/>
      <c r="TV16" s="353"/>
      <c r="TW16" s="353"/>
      <c r="TX16" s="353"/>
      <c r="TY16" s="353"/>
      <c r="TZ16" s="353"/>
      <c r="UA16" s="353"/>
      <c r="UB16" s="353"/>
      <c r="UC16" s="353"/>
      <c r="UD16" s="353"/>
      <c r="UE16" s="353"/>
      <c r="UF16" s="353"/>
      <c r="UG16" s="353"/>
      <c r="UH16" s="353"/>
      <c r="UI16" s="353"/>
      <c r="UJ16" s="353"/>
      <c r="UK16" s="353"/>
      <c r="UL16" s="353"/>
      <c r="UM16" s="353"/>
      <c r="UN16" s="353"/>
      <c r="UO16" s="353"/>
      <c r="UP16" s="353"/>
      <c r="UQ16" s="353"/>
      <c r="UR16" s="353"/>
      <c r="US16" s="353"/>
      <c r="UT16" s="353"/>
      <c r="UU16" s="353"/>
      <c r="UV16" s="353"/>
      <c r="UW16" s="353"/>
      <c r="UX16" s="353"/>
      <c r="UY16" s="353"/>
      <c r="UZ16" s="353"/>
      <c r="VA16" s="353"/>
      <c r="VB16" s="353"/>
      <c r="VC16" s="353"/>
      <c r="VD16" s="353"/>
      <c r="VE16" s="353"/>
      <c r="VF16" s="353"/>
      <c r="VG16" s="353"/>
      <c r="VH16" s="353"/>
      <c r="VI16" s="353"/>
      <c r="VJ16" s="353"/>
      <c r="VK16" s="353"/>
      <c r="VL16" s="353"/>
      <c r="VM16" s="353"/>
      <c r="VN16" s="353"/>
      <c r="VO16" s="353"/>
      <c r="VP16" s="353"/>
      <c r="VQ16" s="353"/>
      <c r="VR16" s="353"/>
      <c r="VS16" s="353"/>
      <c r="VT16" s="353"/>
      <c r="VU16" s="353"/>
      <c r="VV16" s="353"/>
      <c r="VW16" s="353"/>
      <c r="VX16" s="353"/>
      <c r="VY16" s="353"/>
      <c r="VZ16" s="353"/>
      <c r="WA16" s="353"/>
      <c r="WB16" s="353"/>
      <c r="WC16" s="353"/>
      <c r="WD16" s="353"/>
      <c r="WE16" s="353"/>
      <c r="WF16" s="353"/>
      <c r="WG16" s="353"/>
      <c r="WH16" s="353"/>
      <c r="WI16" s="353"/>
      <c r="WJ16" s="353"/>
      <c r="WK16" s="353"/>
      <c r="WL16" s="353"/>
      <c r="WM16" s="353"/>
      <c r="WN16" s="353"/>
      <c r="WO16" s="353"/>
      <c r="WP16" s="353"/>
      <c r="WQ16" s="353"/>
      <c r="WR16" s="353"/>
      <c r="WS16" s="353"/>
      <c r="WT16" s="353"/>
      <c r="WU16" s="353"/>
      <c r="WV16" s="353"/>
      <c r="WW16" s="353"/>
      <c r="WX16" s="353"/>
      <c r="WY16" s="353"/>
      <c r="WZ16" s="353"/>
      <c r="XA16" s="353"/>
      <c r="XB16" s="353"/>
      <c r="XC16" s="353"/>
      <c r="XD16" s="353"/>
      <c r="XE16" s="353"/>
      <c r="XF16" s="353"/>
      <c r="XG16" s="353"/>
      <c r="XH16" s="353"/>
      <c r="XI16" s="353"/>
      <c r="XJ16" s="353"/>
      <c r="XK16" s="353"/>
      <c r="XL16" s="353"/>
      <c r="XM16" s="353"/>
      <c r="XN16" s="353"/>
      <c r="XO16" s="353"/>
      <c r="XP16" s="353"/>
      <c r="XQ16" s="353"/>
      <c r="XR16" s="353"/>
      <c r="XS16" s="353"/>
      <c r="XT16" s="353"/>
      <c r="XU16" s="353"/>
      <c r="XV16" s="353"/>
      <c r="XW16" s="353"/>
      <c r="XX16" s="353"/>
      <c r="XY16" s="353"/>
      <c r="XZ16" s="353"/>
      <c r="YA16" s="353"/>
      <c r="YB16" s="353"/>
      <c r="YC16" s="353"/>
      <c r="YD16" s="353"/>
      <c r="YE16" s="353"/>
      <c r="YF16" s="353"/>
      <c r="YG16" s="353"/>
      <c r="YH16" s="353"/>
      <c r="YI16" s="353"/>
      <c r="YJ16" s="353"/>
      <c r="YK16" s="353"/>
      <c r="YL16" s="353"/>
      <c r="YM16" s="353"/>
      <c r="YN16" s="353"/>
      <c r="YO16" s="353"/>
      <c r="YP16" s="353"/>
      <c r="YQ16" s="353"/>
      <c r="YR16" s="353"/>
      <c r="YS16" s="353"/>
      <c r="YT16" s="353"/>
      <c r="YU16" s="353"/>
      <c r="YV16" s="353"/>
      <c r="YW16" s="353"/>
      <c r="YX16" s="353"/>
      <c r="YY16" s="353"/>
      <c r="YZ16" s="353"/>
      <c r="ZA16" s="353"/>
      <c r="ZB16" s="353"/>
      <c r="ZC16" s="353"/>
      <c r="ZD16" s="353"/>
      <c r="ZE16" s="353"/>
      <c r="ZF16" s="353"/>
      <c r="ZG16" s="353"/>
      <c r="ZH16" s="353"/>
      <c r="ZI16" s="353"/>
      <c r="ZJ16" s="353"/>
      <c r="ZK16" s="353"/>
      <c r="ZL16" s="353"/>
      <c r="ZM16" s="353"/>
      <c r="ZN16" s="353"/>
      <c r="ZO16" s="353"/>
      <c r="ZP16" s="353"/>
      <c r="ZQ16" s="353"/>
      <c r="ZR16" s="353"/>
      <c r="ZS16" s="353"/>
      <c r="ZT16" s="353"/>
      <c r="ZU16" s="353"/>
      <c r="ZV16" s="353"/>
      <c r="ZW16" s="353"/>
      <c r="ZX16" s="353"/>
      <c r="ZY16" s="353"/>
      <c r="ZZ16" s="353"/>
      <c r="AAA16" s="353"/>
      <c r="AAB16" s="353"/>
      <c r="AAC16" s="353"/>
      <c r="AAD16" s="353"/>
      <c r="AAE16" s="353"/>
      <c r="AAF16" s="353"/>
      <c r="AAG16" s="353"/>
      <c r="AAH16" s="353"/>
      <c r="AAI16" s="353"/>
      <c r="AAJ16" s="353"/>
      <c r="AAK16" s="353"/>
      <c r="AAL16" s="353"/>
      <c r="AAM16" s="353"/>
      <c r="AAN16" s="353"/>
      <c r="AAO16" s="353"/>
      <c r="AAP16" s="353"/>
      <c r="AAQ16" s="353"/>
      <c r="AAR16" s="353"/>
      <c r="AAS16" s="353"/>
      <c r="AAT16" s="353"/>
      <c r="AAU16" s="353"/>
      <c r="AAV16" s="353"/>
      <c r="AAW16" s="353"/>
      <c r="AAX16" s="353"/>
      <c r="AAY16" s="353"/>
      <c r="AAZ16" s="353"/>
      <c r="ABA16" s="353"/>
      <c r="ABB16" s="353"/>
      <c r="ABC16" s="353"/>
      <c r="ABD16" s="353"/>
      <c r="ABE16" s="353"/>
      <c r="ABF16" s="353"/>
      <c r="ABG16" s="353"/>
      <c r="ABH16" s="353"/>
      <c r="ABI16" s="353"/>
      <c r="ABJ16" s="353"/>
      <c r="ABK16" s="353"/>
      <c r="ABL16" s="353"/>
      <c r="ABM16" s="353"/>
      <c r="ABN16" s="353"/>
      <c r="ABO16" s="353"/>
      <c r="ABP16" s="353"/>
      <c r="ABQ16" s="353"/>
      <c r="ABR16" s="353"/>
      <c r="ABS16" s="353"/>
      <c r="ABT16" s="353"/>
      <c r="ABU16" s="353"/>
      <c r="ABV16" s="353"/>
      <c r="ABW16" s="353"/>
      <c r="ABX16" s="353"/>
      <c r="ABY16" s="353"/>
      <c r="ABZ16" s="353"/>
      <c r="ACA16" s="353"/>
      <c r="ACB16" s="353"/>
      <c r="ACC16" s="353"/>
      <c r="ACD16" s="353"/>
      <c r="ACE16" s="353"/>
      <c r="ACF16" s="353"/>
      <c r="ACG16" s="353"/>
      <c r="ACH16" s="353"/>
      <c r="ACI16" s="353"/>
      <c r="ACJ16" s="353"/>
      <c r="ACK16" s="353"/>
      <c r="ACL16" s="353"/>
      <c r="ACM16" s="353"/>
      <c r="ACN16" s="353"/>
      <c r="ACO16" s="353"/>
      <c r="ACP16" s="353"/>
      <c r="ACQ16" s="353"/>
      <c r="ACR16" s="353"/>
      <c r="ACS16" s="353"/>
      <c r="ACT16" s="353"/>
      <c r="ACU16" s="353"/>
      <c r="ACV16" s="353"/>
      <c r="ACW16" s="353"/>
      <c r="ACX16" s="353"/>
      <c r="ACY16" s="353"/>
      <c r="ACZ16" s="353"/>
      <c r="ADA16" s="353"/>
      <c r="ADB16" s="353"/>
      <c r="ADC16" s="353"/>
      <c r="ADD16" s="353"/>
      <c r="ADE16" s="353"/>
      <c r="ADF16" s="353"/>
      <c r="ADG16" s="353"/>
      <c r="ADH16" s="353"/>
      <c r="ADI16" s="353"/>
      <c r="ADJ16" s="353"/>
      <c r="ADK16" s="353"/>
      <c r="ADL16" s="353"/>
      <c r="ADM16" s="353"/>
      <c r="ADN16" s="353"/>
      <c r="ADO16" s="353"/>
      <c r="ADP16" s="353"/>
      <c r="ADQ16" s="353"/>
      <c r="ADR16" s="353"/>
      <c r="ADS16" s="353"/>
      <c r="ADT16" s="353"/>
      <c r="ADU16" s="353"/>
      <c r="ADV16" s="353"/>
      <c r="ADW16" s="353"/>
      <c r="ADX16" s="353"/>
      <c r="ADY16" s="353"/>
      <c r="ADZ16" s="353"/>
      <c r="AEA16" s="353"/>
      <c r="AEB16" s="353"/>
      <c r="AEC16" s="353"/>
      <c r="AED16" s="353"/>
      <c r="AEE16" s="353"/>
      <c r="AEF16" s="353"/>
      <c r="AEG16" s="353"/>
      <c r="AEH16" s="353"/>
      <c r="AEI16" s="353"/>
      <c r="AEJ16" s="353"/>
      <c r="AEK16" s="353"/>
      <c r="AEL16" s="353"/>
      <c r="AEM16" s="353"/>
      <c r="AEN16" s="353"/>
      <c r="AEO16" s="353"/>
      <c r="AEP16" s="353"/>
      <c r="AEQ16" s="353"/>
      <c r="AER16" s="353"/>
      <c r="AES16" s="353"/>
      <c r="AET16" s="353"/>
      <c r="AEU16" s="353"/>
      <c r="AEV16" s="353"/>
      <c r="AEW16" s="353"/>
      <c r="AEX16" s="353"/>
      <c r="AEY16" s="353"/>
      <c r="AEZ16" s="353"/>
      <c r="AFA16" s="353"/>
      <c r="AFB16" s="353"/>
      <c r="AFC16" s="353"/>
      <c r="AFD16" s="353"/>
      <c r="AFE16" s="353"/>
      <c r="AFF16" s="353"/>
      <c r="AFG16" s="353"/>
      <c r="AFH16" s="353"/>
      <c r="AFI16" s="353"/>
      <c r="AFJ16" s="353"/>
      <c r="AFK16" s="353"/>
      <c r="AFL16" s="353"/>
      <c r="AFM16" s="353"/>
      <c r="AFN16" s="353"/>
      <c r="AFO16" s="353"/>
      <c r="AFP16" s="353"/>
      <c r="AFQ16" s="353"/>
      <c r="AFR16" s="353"/>
      <c r="AFS16" s="353"/>
      <c r="AFT16" s="353"/>
      <c r="AFU16" s="353"/>
      <c r="AFV16" s="353"/>
      <c r="AFW16" s="353"/>
      <c r="AFX16" s="353"/>
      <c r="AFY16" s="353"/>
      <c r="AFZ16" s="353"/>
      <c r="AGA16" s="353"/>
      <c r="AGB16" s="353"/>
      <c r="AGC16" s="353"/>
      <c r="AGD16" s="353"/>
      <c r="AGE16" s="353"/>
      <c r="AGF16" s="353"/>
      <c r="AGG16" s="353"/>
      <c r="AGH16" s="353"/>
      <c r="AGI16" s="353"/>
      <c r="AGJ16" s="353"/>
      <c r="AGK16" s="353"/>
      <c r="AGL16" s="353"/>
      <c r="AGM16" s="353"/>
      <c r="AGN16" s="353"/>
      <c r="AGO16" s="353"/>
      <c r="AGP16" s="353"/>
      <c r="AGQ16" s="353"/>
      <c r="AGR16" s="353"/>
      <c r="AGS16" s="353"/>
      <c r="AGT16" s="353"/>
      <c r="AGU16" s="353"/>
      <c r="AGV16" s="353"/>
      <c r="AGW16" s="353"/>
      <c r="AGX16" s="353"/>
      <c r="AGY16" s="353"/>
      <c r="AGZ16" s="353"/>
      <c r="AHA16" s="353"/>
      <c r="AHB16" s="353"/>
      <c r="AHC16" s="353"/>
      <c r="AHD16" s="353"/>
      <c r="AHE16" s="353"/>
      <c r="AHF16" s="353"/>
      <c r="AHG16" s="353"/>
      <c r="AHH16" s="353"/>
      <c r="AHI16" s="353"/>
      <c r="AHJ16" s="353"/>
      <c r="AHK16" s="353"/>
      <c r="AHL16" s="353"/>
      <c r="AHM16" s="353"/>
      <c r="AHN16" s="353"/>
      <c r="AHO16" s="353"/>
      <c r="AHP16" s="353"/>
      <c r="AHQ16" s="353"/>
      <c r="AHR16" s="353"/>
      <c r="AHS16" s="353"/>
      <c r="AHT16" s="353"/>
      <c r="AHU16" s="353"/>
      <c r="AHV16" s="353"/>
      <c r="AHW16" s="353"/>
      <c r="AHX16" s="353"/>
      <c r="AHY16" s="353"/>
      <c r="AHZ16" s="353"/>
      <c r="AIA16" s="353"/>
      <c r="AIB16" s="353"/>
      <c r="AIC16" s="353"/>
      <c r="AID16" s="353"/>
      <c r="AIE16" s="353"/>
      <c r="AIF16" s="353"/>
      <c r="AIG16" s="353"/>
      <c r="AIH16" s="353"/>
      <c r="AII16" s="353"/>
      <c r="AIJ16" s="353"/>
      <c r="AIK16" s="353"/>
      <c r="AIL16" s="353"/>
      <c r="AIM16" s="353"/>
      <c r="AIN16" s="353"/>
      <c r="AIO16" s="353"/>
      <c r="AIP16" s="353"/>
      <c r="AIQ16" s="353"/>
      <c r="AIR16" s="353"/>
      <c r="AIS16" s="353"/>
      <c r="AIT16" s="353"/>
      <c r="AIU16" s="353"/>
      <c r="AIV16" s="353"/>
      <c r="AIW16" s="353"/>
      <c r="AIX16" s="353"/>
      <c r="AIY16" s="353"/>
      <c r="AIZ16" s="353"/>
      <c r="AJA16" s="353"/>
      <c r="AJB16" s="353"/>
      <c r="AJC16" s="353"/>
      <c r="AJD16" s="353"/>
      <c r="AJE16" s="353"/>
      <c r="AJF16" s="353"/>
      <c r="AJG16" s="353"/>
      <c r="AJH16" s="353"/>
      <c r="AJI16" s="353"/>
      <c r="AJJ16" s="353"/>
      <c r="AJK16" s="353"/>
      <c r="AJL16" s="353"/>
      <c r="AJM16" s="353"/>
      <c r="AJN16" s="353"/>
      <c r="AJO16" s="353"/>
      <c r="AJP16" s="353"/>
      <c r="AJQ16" s="353"/>
      <c r="AJR16" s="353"/>
      <c r="AJS16" s="353"/>
      <c r="AJT16" s="353"/>
      <c r="AJU16" s="353"/>
      <c r="AJV16" s="353"/>
      <c r="AJW16" s="353"/>
      <c r="AJX16" s="353"/>
      <c r="AJY16" s="353"/>
      <c r="AJZ16" s="353"/>
      <c r="AKA16" s="353"/>
      <c r="AKB16" s="353"/>
      <c r="AKC16" s="353"/>
      <c r="AKD16" s="353"/>
      <c r="AKE16" s="353"/>
      <c r="AKF16" s="353"/>
      <c r="AKG16" s="353"/>
      <c r="AKH16" s="353"/>
      <c r="AKI16" s="353"/>
      <c r="AKJ16" s="353"/>
      <c r="AKK16" s="353"/>
      <c r="AKL16" s="353"/>
      <c r="AKM16" s="353"/>
      <c r="AKN16" s="353"/>
      <c r="AKO16" s="353"/>
      <c r="AKP16" s="353"/>
      <c r="AKQ16" s="353"/>
      <c r="AKR16" s="353"/>
      <c r="AKS16" s="353"/>
      <c r="AKT16" s="353"/>
      <c r="AKU16" s="353"/>
      <c r="AKV16" s="353"/>
      <c r="AKW16" s="353"/>
      <c r="AKX16" s="353"/>
      <c r="AKY16" s="353"/>
      <c r="AKZ16" s="353"/>
      <c r="ALA16" s="353"/>
      <c r="ALB16" s="353"/>
      <c r="ALC16" s="353"/>
      <c r="ALD16" s="353"/>
      <c r="ALE16" s="353"/>
      <c r="ALF16" s="353"/>
      <c r="ALG16" s="353"/>
      <c r="ALH16" s="353"/>
      <c r="ALI16" s="353"/>
      <c r="ALJ16" s="353"/>
      <c r="ALK16" s="353"/>
      <c r="ALL16" s="353"/>
      <c r="ALM16" s="353"/>
      <c r="ALN16" s="353"/>
      <c r="ALO16" s="353"/>
      <c r="ALP16" s="353"/>
      <c r="ALQ16" s="353"/>
      <c r="ALR16" s="353"/>
      <c r="ALS16" s="353"/>
      <c r="ALT16" s="353"/>
      <c r="ALU16" s="353"/>
      <c r="ALV16" s="353"/>
      <c r="ALW16" s="353"/>
      <c r="ALX16" s="353"/>
      <c r="ALY16" s="353"/>
      <c r="ALZ16" s="353"/>
      <c r="AMA16" s="353"/>
      <c r="AMB16" s="353"/>
      <c r="AMC16" s="353"/>
      <c r="AMD16" s="353"/>
      <c r="AME16" s="353"/>
      <c r="AMF16" s="353"/>
      <c r="AMG16" s="353"/>
      <c r="AMH16" s="353"/>
      <c r="AMI16" s="353"/>
      <c r="AMJ16" s="353"/>
      <c r="AMK16" s="353"/>
      <c r="AML16" s="353"/>
      <c r="AMM16" s="353"/>
      <c r="AMN16" s="353"/>
      <c r="AMO16" s="353"/>
      <c r="AMP16" s="353"/>
    </row>
    <row r="17" spans="2:1030" s="354" customFormat="1" ht="12.75" x14ac:dyDescent="0.2">
      <c r="B17" s="404">
        <f t="shared" si="13"/>
        <v>4</v>
      </c>
      <c r="C17" s="405" t="s">
        <v>135</v>
      </c>
      <c r="D17" s="406" t="s">
        <v>135</v>
      </c>
      <c r="E17" s="406" t="s">
        <v>287</v>
      </c>
      <c r="F17" s="407" t="s">
        <v>136</v>
      </c>
      <c r="G17" s="407" t="s">
        <v>286</v>
      </c>
      <c r="H17" s="408" t="s">
        <v>22</v>
      </c>
      <c r="I17" s="408" t="s">
        <v>21</v>
      </c>
      <c r="J17" s="408" t="s">
        <v>35</v>
      </c>
      <c r="K17" s="408" t="s">
        <v>35</v>
      </c>
      <c r="L17" s="408" t="s">
        <v>35</v>
      </c>
      <c r="M17" s="408" t="s">
        <v>37</v>
      </c>
      <c r="N17" s="409">
        <v>56567570.130000003</v>
      </c>
      <c r="O17" s="409">
        <v>0</v>
      </c>
      <c r="P17" s="409">
        <v>336380.38062188996</v>
      </c>
      <c r="Q17" s="409">
        <f t="shared" si="4"/>
        <v>0</v>
      </c>
      <c r="R17" s="409">
        <f t="shared" si="5"/>
        <v>56567570.130000003</v>
      </c>
      <c r="S17" s="410">
        <f t="shared" si="6"/>
        <v>46150545.886115335</v>
      </c>
      <c r="T17" s="409">
        <f t="shared" si="7"/>
        <v>46150545.886115335</v>
      </c>
      <c r="U17" s="411">
        <f t="shared" si="8"/>
        <v>16212687</v>
      </c>
      <c r="V17" s="411">
        <f t="shared" si="9"/>
        <v>10417024.243884668</v>
      </c>
      <c r="W17" s="412">
        <v>0</v>
      </c>
      <c r="X17" s="412">
        <v>0</v>
      </c>
      <c r="Y17" s="411">
        <f t="shared" si="10"/>
        <v>46150545.890000001</v>
      </c>
      <c r="Z17" s="411">
        <f t="shared" si="10"/>
        <v>16212687</v>
      </c>
      <c r="AA17" s="411">
        <f t="shared" si="11"/>
        <v>46150545.890000001</v>
      </c>
      <c r="AB17" s="383"/>
      <c r="AC17" s="413"/>
      <c r="AD17" s="413" t="str">
        <f t="shared" si="12"/>
        <v/>
      </c>
      <c r="AE17" s="414" t="str">
        <f>IF($AD17="","",COUNTIFS($AD$14:AD17,"Yes"))</f>
        <v/>
      </c>
      <c r="AF17" s="413" t="b">
        <f>IF(C17="", "", AND(INDEX('Summary Dynamic'!$D$8:$D$10, MATCH(H17, 'Summary Dynamic'!$C$8:$C$10, 0))="Include", INDEX('Summary Dynamic'!$D$12:$D$14, MATCH(I17, 'Summary Dynamic'!$C$12:$C$14, 0))="Include", INDEX('Summary Dynamic'!$D$16:$D$17, MATCH(J17, 'Summary Dynamic'!$C$16:$C$17, 0))="Include", INDEX('Summary Dynamic'!$D$19:$D$20, MATCH(K17, 'Summary Dynamic'!$C$19:$C$20, 0))="Include", INDEX('Summary Dynamic'!$D$22:$D$23, MATCH(L17, 'Summary Dynamic'!$C$22:$C$23, 0))="Include", INDEX('Summary Dynamic'!$D$25:$D$26, MATCH(M17, 'Summary Dynamic'!$C$25:$C$26, 0))="Include"))</f>
        <v>1</v>
      </c>
      <c r="AG17" s="414">
        <f>IFERROR(IF(C17="", "", IF(AF17=TRUE, COUNTIFS($AF$14:AF17, TRUE), "n/a")), "n/a")</f>
        <v>4</v>
      </c>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c r="DS17" s="353"/>
      <c r="DT17" s="353"/>
      <c r="DU17" s="353"/>
      <c r="DV17" s="353"/>
      <c r="DW17" s="353"/>
      <c r="DX17" s="353"/>
      <c r="DY17" s="353"/>
      <c r="DZ17" s="353"/>
      <c r="EA17" s="353"/>
      <c r="EB17" s="353"/>
      <c r="EC17" s="353"/>
      <c r="ED17" s="353"/>
      <c r="EE17" s="353"/>
      <c r="EF17" s="353"/>
      <c r="EG17" s="353"/>
      <c r="EH17" s="353"/>
      <c r="EI17" s="353"/>
      <c r="EJ17" s="353"/>
      <c r="EK17" s="353"/>
      <c r="EL17" s="353"/>
      <c r="EM17" s="353"/>
      <c r="EN17" s="353"/>
      <c r="EO17" s="353"/>
      <c r="EP17" s="353"/>
      <c r="EQ17" s="353"/>
      <c r="ER17" s="353"/>
      <c r="ES17" s="353"/>
      <c r="ET17" s="353"/>
      <c r="EU17" s="353"/>
      <c r="EV17" s="353"/>
      <c r="EW17" s="353"/>
      <c r="EX17" s="353"/>
      <c r="EY17" s="353"/>
      <c r="EZ17" s="353"/>
      <c r="FA17" s="353"/>
      <c r="FB17" s="353"/>
      <c r="FC17" s="353"/>
      <c r="FD17" s="353"/>
      <c r="FE17" s="353"/>
      <c r="FF17" s="353"/>
      <c r="FG17" s="353"/>
      <c r="FH17" s="353"/>
      <c r="FI17" s="353"/>
      <c r="FJ17" s="353"/>
      <c r="FK17" s="353"/>
      <c r="FL17" s="353"/>
      <c r="FM17" s="353"/>
      <c r="FN17" s="353"/>
      <c r="FO17" s="353"/>
      <c r="FP17" s="353"/>
      <c r="FQ17" s="353"/>
      <c r="FR17" s="353"/>
      <c r="FS17" s="353"/>
      <c r="FT17" s="353"/>
      <c r="FU17" s="353"/>
      <c r="FV17" s="353"/>
      <c r="FW17" s="353"/>
      <c r="FX17" s="353"/>
      <c r="FY17" s="353"/>
      <c r="FZ17" s="353"/>
      <c r="GA17" s="353"/>
      <c r="GB17" s="353"/>
      <c r="GC17" s="353"/>
      <c r="GD17" s="353"/>
      <c r="GE17" s="353"/>
      <c r="GF17" s="353"/>
      <c r="GG17" s="353"/>
      <c r="GH17" s="353"/>
      <c r="GI17" s="353"/>
      <c r="GJ17" s="353"/>
      <c r="GK17" s="353"/>
      <c r="GL17" s="353"/>
      <c r="GM17" s="353"/>
      <c r="GN17" s="353"/>
      <c r="GO17" s="353"/>
      <c r="GP17" s="353"/>
      <c r="GQ17" s="353"/>
      <c r="GR17" s="353"/>
      <c r="GS17" s="353"/>
      <c r="GT17" s="353"/>
      <c r="GU17" s="353"/>
      <c r="GV17" s="353"/>
      <c r="GW17" s="353"/>
      <c r="GX17" s="353"/>
      <c r="GY17" s="353"/>
      <c r="GZ17" s="353"/>
      <c r="HA17" s="353"/>
      <c r="HB17" s="353"/>
      <c r="HC17" s="353"/>
      <c r="HD17" s="353"/>
      <c r="HE17" s="353"/>
      <c r="HF17" s="353"/>
      <c r="HG17" s="353"/>
      <c r="HH17" s="353"/>
      <c r="HI17" s="353"/>
      <c r="HJ17" s="353"/>
      <c r="HK17" s="353"/>
      <c r="HL17" s="353"/>
      <c r="HM17" s="353"/>
      <c r="HN17" s="353"/>
      <c r="HO17" s="353"/>
      <c r="HP17" s="353"/>
      <c r="HQ17" s="353"/>
      <c r="HR17" s="353"/>
      <c r="HS17" s="353"/>
      <c r="HT17" s="353"/>
      <c r="HU17" s="353"/>
      <c r="HV17" s="353"/>
      <c r="HW17" s="353"/>
      <c r="HX17" s="353"/>
      <c r="HY17" s="353"/>
      <c r="HZ17" s="353"/>
      <c r="IA17" s="353"/>
      <c r="IB17" s="353"/>
      <c r="IC17" s="353"/>
      <c r="ID17" s="353"/>
      <c r="IE17" s="353"/>
      <c r="IF17" s="353"/>
      <c r="IG17" s="353"/>
      <c r="IH17" s="353"/>
      <c r="II17" s="353"/>
      <c r="IJ17" s="353"/>
      <c r="IK17" s="353"/>
      <c r="IL17" s="353"/>
      <c r="IM17" s="353"/>
      <c r="IN17" s="353"/>
      <c r="IO17" s="353"/>
      <c r="IP17" s="353"/>
      <c r="IQ17" s="353"/>
      <c r="IR17" s="353"/>
      <c r="IS17" s="353"/>
      <c r="IT17" s="353"/>
      <c r="IU17" s="353"/>
      <c r="IV17" s="353"/>
      <c r="IW17" s="353"/>
      <c r="IX17" s="353"/>
      <c r="IY17" s="353"/>
      <c r="IZ17" s="353"/>
      <c r="JA17" s="353"/>
      <c r="JB17" s="353"/>
      <c r="JC17" s="353"/>
      <c r="JD17" s="353"/>
      <c r="JE17" s="353"/>
      <c r="JF17" s="353"/>
      <c r="JG17" s="353"/>
      <c r="JH17" s="353"/>
      <c r="JI17" s="353"/>
      <c r="JJ17" s="353"/>
      <c r="JK17" s="353"/>
      <c r="JL17" s="353"/>
      <c r="JM17" s="353"/>
      <c r="JN17" s="353"/>
      <c r="JO17" s="353"/>
      <c r="JP17" s="353"/>
      <c r="JQ17" s="353"/>
      <c r="JR17" s="353"/>
      <c r="JS17" s="353"/>
      <c r="JT17" s="353"/>
      <c r="JU17" s="353"/>
      <c r="JV17" s="353"/>
      <c r="JW17" s="353"/>
      <c r="JX17" s="353"/>
      <c r="JY17" s="353"/>
      <c r="JZ17" s="353"/>
      <c r="KA17" s="353"/>
      <c r="KB17" s="353"/>
      <c r="KC17" s="353"/>
      <c r="KD17" s="353"/>
      <c r="KE17" s="353"/>
      <c r="KF17" s="353"/>
      <c r="KG17" s="353"/>
      <c r="KH17" s="353"/>
      <c r="KI17" s="353"/>
      <c r="KJ17" s="353"/>
      <c r="KK17" s="353"/>
      <c r="KL17" s="353"/>
      <c r="KM17" s="353"/>
      <c r="KN17" s="353"/>
      <c r="KO17" s="353"/>
      <c r="KP17" s="353"/>
      <c r="KQ17" s="353"/>
      <c r="KR17" s="353"/>
      <c r="KS17" s="353"/>
      <c r="KT17" s="353"/>
      <c r="KU17" s="353"/>
      <c r="KV17" s="353"/>
      <c r="KW17" s="353"/>
      <c r="KX17" s="353"/>
      <c r="KY17" s="353"/>
      <c r="KZ17" s="353"/>
      <c r="LA17" s="353"/>
      <c r="LB17" s="353"/>
      <c r="LC17" s="353"/>
      <c r="LD17" s="353"/>
      <c r="LE17" s="353"/>
      <c r="LF17" s="353"/>
      <c r="LG17" s="353"/>
      <c r="LH17" s="353"/>
      <c r="LI17" s="353"/>
      <c r="LJ17" s="353"/>
      <c r="LK17" s="353"/>
      <c r="LL17" s="353"/>
      <c r="LM17" s="353"/>
      <c r="LN17" s="353"/>
      <c r="LO17" s="353"/>
      <c r="LP17" s="353"/>
      <c r="LQ17" s="353"/>
      <c r="LR17" s="353"/>
      <c r="LS17" s="353"/>
      <c r="LT17" s="353"/>
      <c r="LU17" s="353"/>
      <c r="LV17" s="353"/>
      <c r="LW17" s="353"/>
      <c r="LX17" s="353"/>
      <c r="LY17" s="353"/>
      <c r="LZ17" s="353"/>
      <c r="MA17" s="353"/>
      <c r="MB17" s="353"/>
      <c r="MC17" s="353"/>
      <c r="MD17" s="353"/>
      <c r="ME17" s="353"/>
      <c r="MF17" s="353"/>
      <c r="MG17" s="353"/>
      <c r="MH17" s="353"/>
      <c r="MI17" s="353"/>
      <c r="MJ17" s="353"/>
      <c r="MK17" s="353"/>
      <c r="ML17" s="353"/>
      <c r="MM17" s="353"/>
      <c r="MN17" s="353"/>
      <c r="MO17" s="353"/>
      <c r="MP17" s="353"/>
      <c r="MQ17" s="353"/>
      <c r="MR17" s="353"/>
      <c r="MS17" s="353"/>
      <c r="MT17" s="353"/>
      <c r="MU17" s="353"/>
      <c r="MV17" s="353"/>
      <c r="MW17" s="353"/>
      <c r="MX17" s="353"/>
      <c r="MY17" s="353"/>
      <c r="MZ17" s="353"/>
      <c r="NA17" s="353"/>
      <c r="NB17" s="353"/>
      <c r="NC17" s="353"/>
      <c r="ND17" s="353"/>
      <c r="NE17" s="353"/>
      <c r="NF17" s="353"/>
      <c r="NG17" s="353"/>
      <c r="NH17" s="353"/>
      <c r="NI17" s="353"/>
      <c r="NJ17" s="353"/>
      <c r="NK17" s="353"/>
      <c r="NL17" s="353"/>
      <c r="NM17" s="353"/>
      <c r="NN17" s="353"/>
      <c r="NO17" s="353"/>
      <c r="NP17" s="353"/>
      <c r="NQ17" s="353"/>
      <c r="NR17" s="353"/>
      <c r="NS17" s="353"/>
      <c r="NT17" s="353"/>
      <c r="NU17" s="353"/>
      <c r="NV17" s="353"/>
      <c r="NW17" s="353"/>
      <c r="NX17" s="353"/>
      <c r="NY17" s="353"/>
      <c r="NZ17" s="353"/>
      <c r="OA17" s="353"/>
      <c r="OB17" s="353"/>
      <c r="OC17" s="353"/>
      <c r="OD17" s="353"/>
      <c r="OE17" s="353"/>
      <c r="OF17" s="353"/>
      <c r="OG17" s="353"/>
      <c r="OH17" s="353"/>
      <c r="OI17" s="353"/>
      <c r="OJ17" s="353"/>
      <c r="OK17" s="353"/>
      <c r="OL17" s="353"/>
      <c r="OM17" s="353"/>
      <c r="ON17" s="353"/>
      <c r="OO17" s="353"/>
      <c r="OP17" s="353"/>
      <c r="OQ17" s="353"/>
      <c r="OR17" s="353"/>
      <c r="OS17" s="353"/>
      <c r="OT17" s="353"/>
      <c r="OU17" s="353"/>
      <c r="OV17" s="353"/>
      <c r="OW17" s="353"/>
      <c r="OX17" s="353"/>
      <c r="OY17" s="353"/>
      <c r="OZ17" s="353"/>
      <c r="PA17" s="353"/>
      <c r="PB17" s="353"/>
      <c r="PC17" s="353"/>
      <c r="PD17" s="353"/>
      <c r="PE17" s="353"/>
      <c r="PF17" s="353"/>
      <c r="PG17" s="353"/>
      <c r="PH17" s="353"/>
      <c r="PI17" s="353"/>
      <c r="PJ17" s="353"/>
      <c r="PK17" s="353"/>
      <c r="PL17" s="353"/>
      <c r="PM17" s="353"/>
      <c r="PN17" s="353"/>
      <c r="PO17" s="353"/>
      <c r="PP17" s="353"/>
      <c r="PQ17" s="353"/>
      <c r="PR17" s="353"/>
      <c r="PS17" s="353"/>
      <c r="PT17" s="353"/>
      <c r="PU17" s="353"/>
      <c r="PV17" s="353"/>
      <c r="PW17" s="353"/>
      <c r="PX17" s="353"/>
      <c r="PY17" s="353"/>
      <c r="PZ17" s="353"/>
      <c r="QA17" s="353"/>
      <c r="QB17" s="353"/>
      <c r="QC17" s="353"/>
      <c r="QD17" s="353"/>
      <c r="QE17" s="353"/>
      <c r="QF17" s="353"/>
      <c r="QG17" s="353"/>
      <c r="QH17" s="353"/>
      <c r="QI17" s="353"/>
      <c r="QJ17" s="353"/>
      <c r="QK17" s="353"/>
      <c r="QL17" s="353"/>
      <c r="QM17" s="353"/>
      <c r="QN17" s="353"/>
      <c r="QO17" s="353"/>
      <c r="QP17" s="353"/>
      <c r="QQ17" s="353"/>
      <c r="QR17" s="353"/>
      <c r="QS17" s="353"/>
      <c r="QT17" s="353"/>
      <c r="QU17" s="353"/>
      <c r="QV17" s="353"/>
      <c r="QW17" s="353"/>
      <c r="QX17" s="353"/>
      <c r="QY17" s="353"/>
      <c r="QZ17" s="353"/>
      <c r="RA17" s="353"/>
      <c r="RB17" s="353"/>
      <c r="RC17" s="353"/>
      <c r="RD17" s="353"/>
      <c r="RE17" s="353"/>
      <c r="RF17" s="353"/>
      <c r="RG17" s="353"/>
      <c r="RH17" s="353"/>
      <c r="RI17" s="353"/>
      <c r="RJ17" s="353"/>
      <c r="RK17" s="353"/>
      <c r="RL17" s="353"/>
      <c r="RM17" s="353"/>
      <c r="RN17" s="353"/>
      <c r="RO17" s="353"/>
      <c r="RP17" s="353"/>
      <c r="RQ17" s="353"/>
      <c r="RR17" s="353"/>
      <c r="RS17" s="353"/>
      <c r="RT17" s="353"/>
      <c r="RU17" s="353"/>
      <c r="RV17" s="353"/>
      <c r="RW17" s="353"/>
      <c r="RX17" s="353"/>
      <c r="RY17" s="353"/>
      <c r="RZ17" s="353"/>
      <c r="SA17" s="353"/>
      <c r="SB17" s="353"/>
      <c r="SC17" s="353"/>
      <c r="SD17" s="353"/>
      <c r="SE17" s="353"/>
      <c r="SF17" s="353"/>
      <c r="SG17" s="353"/>
      <c r="SH17" s="353"/>
      <c r="SI17" s="353"/>
      <c r="SJ17" s="353"/>
      <c r="SK17" s="353"/>
      <c r="SL17" s="353"/>
      <c r="SM17" s="353"/>
      <c r="SN17" s="353"/>
      <c r="SO17" s="353"/>
      <c r="SP17" s="353"/>
      <c r="SQ17" s="353"/>
      <c r="SR17" s="353"/>
      <c r="SS17" s="353"/>
      <c r="ST17" s="353"/>
      <c r="SU17" s="353"/>
      <c r="SV17" s="353"/>
      <c r="SW17" s="353"/>
      <c r="SX17" s="353"/>
      <c r="SY17" s="353"/>
      <c r="SZ17" s="353"/>
      <c r="TA17" s="353"/>
      <c r="TB17" s="353"/>
      <c r="TC17" s="353"/>
      <c r="TD17" s="353"/>
      <c r="TE17" s="353"/>
      <c r="TF17" s="353"/>
      <c r="TG17" s="353"/>
      <c r="TH17" s="353"/>
      <c r="TI17" s="353"/>
      <c r="TJ17" s="353"/>
      <c r="TK17" s="353"/>
      <c r="TL17" s="353"/>
      <c r="TM17" s="353"/>
      <c r="TN17" s="353"/>
      <c r="TO17" s="353"/>
      <c r="TP17" s="353"/>
      <c r="TQ17" s="353"/>
      <c r="TR17" s="353"/>
      <c r="TS17" s="353"/>
      <c r="TT17" s="353"/>
      <c r="TU17" s="353"/>
      <c r="TV17" s="353"/>
      <c r="TW17" s="353"/>
      <c r="TX17" s="353"/>
      <c r="TY17" s="353"/>
      <c r="TZ17" s="353"/>
      <c r="UA17" s="353"/>
      <c r="UB17" s="353"/>
      <c r="UC17" s="353"/>
      <c r="UD17" s="353"/>
      <c r="UE17" s="353"/>
      <c r="UF17" s="353"/>
      <c r="UG17" s="353"/>
      <c r="UH17" s="353"/>
      <c r="UI17" s="353"/>
      <c r="UJ17" s="353"/>
      <c r="UK17" s="353"/>
      <c r="UL17" s="353"/>
      <c r="UM17" s="353"/>
      <c r="UN17" s="353"/>
      <c r="UO17" s="353"/>
      <c r="UP17" s="353"/>
      <c r="UQ17" s="353"/>
      <c r="UR17" s="353"/>
      <c r="US17" s="353"/>
      <c r="UT17" s="353"/>
      <c r="UU17" s="353"/>
      <c r="UV17" s="353"/>
      <c r="UW17" s="353"/>
      <c r="UX17" s="353"/>
      <c r="UY17" s="353"/>
      <c r="UZ17" s="353"/>
      <c r="VA17" s="353"/>
      <c r="VB17" s="353"/>
      <c r="VC17" s="353"/>
      <c r="VD17" s="353"/>
      <c r="VE17" s="353"/>
      <c r="VF17" s="353"/>
      <c r="VG17" s="353"/>
      <c r="VH17" s="353"/>
      <c r="VI17" s="353"/>
      <c r="VJ17" s="353"/>
      <c r="VK17" s="353"/>
      <c r="VL17" s="353"/>
      <c r="VM17" s="353"/>
      <c r="VN17" s="353"/>
      <c r="VO17" s="353"/>
      <c r="VP17" s="353"/>
      <c r="VQ17" s="353"/>
      <c r="VR17" s="353"/>
      <c r="VS17" s="353"/>
      <c r="VT17" s="353"/>
      <c r="VU17" s="353"/>
      <c r="VV17" s="353"/>
      <c r="VW17" s="353"/>
      <c r="VX17" s="353"/>
      <c r="VY17" s="353"/>
      <c r="VZ17" s="353"/>
      <c r="WA17" s="353"/>
      <c r="WB17" s="353"/>
      <c r="WC17" s="353"/>
      <c r="WD17" s="353"/>
      <c r="WE17" s="353"/>
      <c r="WF17" s="353"/>
      <c r="WG17" s="353"/>
      <c r="WH17" s="353"/>
      <c r="WI17" s="353"/>
      <c r="WJ17" s="353"/>
      <c r="WK17" s="353"/>
      <c r="WL17" s="353"/>
      <c r="WM17" s="353"/>
      <c r="WN17" s="353"/>
      <c r="WO17" s="353"/>
      <c r="WP17" s="353"/>
      <c r="WQ17" s="353"/>
      <c r="WR17" s="353"/>
      <c r="WS17" s="353"/>
      <c r="WT17" s="353"/>
      <c r="WU17" s="353"/>
      <c r="WV17" s="353"/>
      <c r="WW17" s="353"/>
      <c r="WX17" s="353"/>
      <c r="WY17" s="353"/>
      <c r="WZ17" s="353"/>
      <c r="XA17" s="353"/>
      <c r="XB17" s="353"/>
      <c r="XC17" s="353"/>
      <c r="XD17" s="353"/>
      <c r="XE17" s="353"/>
      <c r="XF17" s="353"/>
      <c r="XG17" s="353"/>
      <c r="XH17" s="353"/>
      <c r="XI17" s="353"/>
      <c r="XJ17" s="353"/>
      <c r="XK17" s="353"/>
      <c r="XL17" s="353"/>
      <c r="XM17" s="353"/>
      <c r="XN17" s="353"/>
      <c r="XO17" s="353"/>
      <c r="XP17" s="353"/>
      <c r="XQ17" s="353"/>
      <c r="XR17" s="353"/>
      <c r="XS17" s="353"/>
      <c r="XT17" s="353"/>
      <c r="XU17" s="353"/>
      <c r="XV17" s="353"/>
      <c r="XW17" s="353"/>
      <c r="XX17" s="353"/>
      <c r="XY17" s="353"/>
      <c r="XZ17" s="353"/>
      <c r="YA17" s="353"/>
      <c r="YB17" s="353"/>
      <c r="YC17" s="353"/>
      <c r="YD17" s="353"/>
      <c r="YE17" s="353"/>
      <c r="YF17" s="353"/>
      <c r="YG17" s="353"/>
      <c r="YH17" s="353"/>
      <c r="YI17" s="353"/>
      <c r="YJ17" s="353"/>
      <c r="YK17" s="353"/>
      <c r="YL17" s="353"/>
      <c r="YM17" s="353"/>
      <c r="YN17" s="353"/>
      <c r="YO17" s="353"/>
      <c r="YP17" s="353"/>
      <c r="YQ17" s="353"/>
      <c r="YR17" s="353"/>
      <c r="YS17" s="353"/>
      <c r="YT17" s="353"/>
      <c r="YU17" s="353"/>
      <c r="YV17" s="353"/>
      <c r="YW17" s="353"/>
      <c r="YX17" s="353"/>
      <c r="YY17" s="353"/>
      <c r="YZ17" s="353"/>
      <c r="ZA17" s="353"/>
      <c r="ZB17" s="353"/>
      <c r="ZC17" s="353"/>
      <c r="ZD17" s="353"/>
      <c r="ZE17" s="353"/>
      <c r="ZF17" s="353"/>
      <c r="ZG17" s="353"/>
      <c r="ZH17" s="353"/>
      <c r="ZI17" s="353"/>
      <c r="ZJ17" s="353"/>
      <c r="ZK17" s="353"/>
      <c r="ZL17" s="353"/>
      <c r="ZM17" s="353"/>
      <c r="ZN17" s="353"/>
      <c r="ZO17" s="353"/>
      <c r="ZP17" s="353"/>
      <c r="ZQ17" s="353"/>
      <c r="ZR17" s="353"/>
      <c r="ZS17" s="353"/>
      <c r="ZT17" s="353"/>
      <c r="ZU17" s="353"/>
      <c r="ZV17" s="353"/>
      <c r="ZW17" s="353"/>
      <c r="ZX17" s="353"/>
      <c r="ZY17" s="353"/>
      <c r="ZZ17" s="353"/>
      <c r="AAA17" s="353"/>
      <c r="AAB17" s="353"/>
      <c r="AAC17" s="353"/>
      <c r="AAD17" s="353"/>
      <c r="AAE17" s="353"/>
      <c r="AAF17" s="353"/>
      <c r="AAG17" s="353"/>
      <c r="AAH17" s="353"/>
      <c r="AAI17" s="353"/>
      <c r="AAJ17" s="353"/>
      <c r="AAK17" s="353"/>
      <c r="AAL17" s="353"/>
      <c r="AAM17" s="353"/>
      <c r="AAN17" s="353"/>
      <c r="AAO17" s="353"/>
      <c r="AAP17" s="353"/>
      <c r="AAQ17" s="353"/>
      <c r="AAR17" s="353"/>
      <c r="AAS17" s="353"/>
      <c r="AAT17" s="353"/>
      <c r="AAU17" s="353"/>
      <c r="AAV17" s="353"/>
      <c r="AAW17" s="353"/>
      <c r="AAX17" s="353"/>
      <c r="AAY17" s="353"/>
      <c r="AAZ17" s="353"/>
      <c r="ABA17" s="353"/>
      <c r="ABB17" s="353"/>
      <c r="ABC17" s="353"/>
      <c r="ABD17" s="353"/>
      <c r="ABE17" s="353"/>
      <c r="ABF17" s="353"/>
      <c r="ABG17" s="353"/>
      <c r="ABH17" s="353"/>
      <c r="ABI17" s="353"/>
      <c r="ABJ17" s="353"/>
      <c r="ABK17" s="353"/>
      <c r="ABL17" s="353"/>
      <c r="ABM17" s="353"/>
      <c r="ABN17" s="353"/>
      <c r="ABO17" s="353"/>
      <c r="ABP17" s="353"/>
      <c r="ABQ17" s="353"/>
      <c r="ABR17" s="353"/>
      <c r="ABS17" s="353"/>
      <c r="ABT17" s="353"/>
      <c r="ABU17" s="353"/>
      <c r="ABV17" s="353"/>
      <c r="ABW17" s="353"/>
      <c r="ABX17" s="353"/>
      <c r="ABY17" s="353"/>
      <c r="ABZ17" s="353"/>
      <c r="ACA17" s="353"/>
      <c r="ACB17" s="353"/>
      <c r="ACC17" s="353"/>
      <c r="ACD17" s="353"/>
      <c r="ACE17" s="353"/>
      <c r="ACF17" s="353"/>
      <c r="ACG17" s="353"/>
      <c r="ACH17" s="353"/>
      <c r="ACI17" s="353"/>
      <c r="ACJ17" s="353"/>
      <c r="ACK17" s="353"/>
      <c r="ACL17" s="353"/>
      <c r="ACM17" s="353"/>
      <c r="ACN17" s="353"/>
      <c r="ACO17" s="353"/>
      <c r="ACP17" s="353"/>
      <c r="ACQ17" s="353"/>
      <c r="ACR17" s="353"/>
      <c r="ACS17" s="353"/>
      <c r="ACT17" s="353"/>
      <c r="ACU17" s="353"/>
      <c r="ACV17" s="353"/>
      <c r="ACW17" s="353"/>
      <c r="ACX17" s="353"/>
      <c r="ACY17" s="353"/>
      <c r="ACZ17" s="353"/>
      <c r="ADA17" s="353"/>
      <c r="ADB17" s="353"/>
      <c r="ADC17" s="353"/>
      <c r="ADD17" s="353"/>
      <c r="ADE17" s="353"/>
      <c r="ADF17" s="353"/>
      <c r="ADG17" s="353"/>
      <c r="ADH17" s="353"/>
      <c r="ADI17" s="353"/>
      <c r="ADJ17" s="353"/>
      <c r="ADK17" s="353"/>
      <c r="ADL17" s="353"/>
      <c r="ADM17" s="353"/>
      <c r="ADN17" s="353"/>
      <c r="ADO17" s="353"/>
      <c r="ADP17" s="353"/>
      <c r="ADQ17" s="353"/>
      <c r="ADR17" s="353"/>
      <c r="ADS17" s="353"/>
      <c r="ADT17" s="353"/>
      <c r="ADU17" s="353"/>
      <c r="ADV17" s="353"/>
      <c r="ADW17" s="353"/>
      <c r="ADX17" s="353"/>
      <c r="ADY17" s="353"/>
      <c r="ADZ17" s="353"/>
      <c r="AEA17" s="353"/>
      <c r="AEB17" s="353"/>
      <c r="AEC17" s="353"/>
      <c r="AED17" s="353"/>
      <c r="AEE17" s="353"/>
      <c r="AEF17" s="353"/>
      <c r="AEG17" s="353"/>
      <c r="AEH17" s="353"/>
      <c r="AEI17" s="353"/>
      <c r="AEJ17" s="353"/>
      <c r="AEK17" s="353"/>
      <c r="AEL17" s="353"/>
      <c r="AEM17" s="353"/>
      <c r="AEN17" s="353"/>
      <c r="AEO17" s="353"/>
      <c r="AEP17" s="353"/>
      <c r="AEQ17" s="353"/>
      <c r="AER17" s="353"/>
      <c r="AES17" s="353"/>
      <c r="AET17" s="353"/>
      <c r="AEU17" s="353"/>
      <c r="AEV17" s="353"/>
      <c r="AEW17" s="353"/>
      <c r="AEX17" s="353"/>
      <c r="AEY17" s="353"/>
      <c r="AEZ17" s="353"/>
      <c r="AFA17" s="353"/>
      <c r="AFB17" s="353"/>
      <c r="AFC17" s="353"/>
      <c r="AFD17" s="353"/>
      <c r="AFE17" s="353"/>
      <c r="AFF17" s="353"/>
      <c r="AFG17" s="353"/>
      <c r="AFH17" s="353"/>
      <c r="AFI17" s="353"/>
      <c r="AFJ17" s="353"/>
      <c r="AFK17" s="353"/>
      <c r="AFL17" s="353"/>
      <c r="AFM17" s="353"/>
      <c r="AFN17" s="353"/>
      <c r="AFO17" s="353"/>
      <c r="AFP17" s="353"/>
      <c r="AFQ17" s="353"/>
      <c r="AFR17" s="353"/>
      <c r="AFS17" s="353"/>
      <c r="AFT17" s="353"/>
      <c r="AFU17" s="353"/>
      <c r="AFV17" s="353"/>
      <c r="AFW17" s="353"/>
      <c r="AFX17" s="353"/>
      <c r="AFY17" s="353"/>
      <c r="AFZ17" s="353"/>
      <c r="AGA17" s="353"/>
      <c r="AGB17" s="353"/>
      <c r="AGC17" s="353"/>
      <c r="AGD17" s="353"/>
      <c r="AGE17" s="353"/>
      <c r="AGF17" s="353"/>
      <c r="AGG17" s="353"/>
      <c r="AGH17" s="353"/>
      <c r="AGI17" s="353"/>
      <c r="AGJ17" s="353"/>
      <c r="AGK17" s="353"/>
      <c r="AGL17" s="353"/>
      <c r="AGM17" s="353"/>
      <c r="AGN17" s="353"/>
      <c r="AGO17" s="353"/>
      <c r="AGP17" s="353"/>
      <c r="AGQ17" s="353"/>
      <c r="AGR17" s="353"/>
      <c r="AGS17" s="353"/>
      <c r="AGT17" s="353"/>
      <c r="AGU17" s="353"/>
      <c r="AGV17" s="353"/>
      <c r="AGW17" s="353"/>
      <c r="AGX17" s="353"/>
      <c r="AGY17" s="353"/>
      <c r="AGZ17" s="353"/>
      <c r="AHA17" s="353"/>
      <c r="AHB17" s="353"/>
      <c r="AHC17" s="353"/>
      <c r="AHD17" s="353"/>
      <c r="AHE17" s="353"/>
      <c r="AHF17" s="353"/>
      <c r="AHG17" s="353"/>
      <c r="AHH17" s="353"/>
      <c r="AHI17" s="353"/>
      <c r="AHJ17" s="353"/>
      <c r="AHK17" s="353"/>
      <c r="AHL17" s="353"/>
      <c r="AHM17" s="353"/>
      <c r="AHN17" s="353"/>
      <c r="AHO17" s="353"/>
      <c r="AHP17" s="353"/>
      <c r="AHQ17" s="353"/>
      <c r="AHR17" s="353"/>
      <c r="AHS17" s="353"/>
      <c r="AHT17" s="353"/>
      <c r="AHU17" s="353"/>
      <c r="AHV17" s="353"/>
      <c r="AHW17" s="353"/>
      <c r="AHX17" s="353"/>
      <c r="AHY17" s="353"/>
      <c r="AHZ17" s="353"/>
      <c r="AIA17" s="353"/>
      <c r="AIB17" s="353"/>
      <c r="AIC17" s="353"/>
      <c r="AID17" s="353"/>
      <c r="AIE17" s="353"/>
      <c r="AIF17" s="353"/>
      <c r="AIG17" s="353"/>
      <c r="AIH17" s="353"/>
      <c r="AII17" s="353"/>
      <c r="AIJ17" s="353"/>
      <c r="AIK17" s="353"/>
      <c r="AIL17" s="353"/>
      <c r="AIM17" s="353"/>
      <c r="AIN17" s="353"/>
      <c r="AIO17" s="353"/>
      <c r="AIP17" s="353"/>
      <c r="AIQ17" s="353"/>
      <c r="AIR17" s="353"/>
      <c r="AIS17" s="353"/>
      <c r="AIT17" s="353"/>
      <c r="AIU17" s="353"/>
      <c r="AIV17" s="353"/>
      <c r="AIW17" s="353"/>
      <c r="AIX17" s="353"/>
      <c r="AIY17" s="353"/>
      <c r="AIZ17" s="353"/>
      <c r="AJA17" s="353"/>
      <c r="AJB17" s="353"/>
      <c r="AJC17" s="353"/>
      <c r="AJD17" s="353"/>
      <c r="AJE17" s="353"/>
      <c r="AJF17" s="353"/>
      <c r="AJG17" s="353"/>
      <c r="AJH17" s="353"/>
      <c r="AJI17" s="353"/>
      <c r="AJJ17" s="353"/>
      <c r="AJK17" s="353"/>
      <c r="AJL17" s="353"/>
      <c r="AJM17" s="353"/>
      <c r="AJN17" s="353"/>
      <c r="AJO17" s="353"/>
      <c r="AJP17" s="353"/>
      <c r="AJQ17" s="353"/>
      <c r="AJR17" s="353"/>
      <c r="AJS17" s="353"/>
      <c r="AJT17" s="353"/>
      <c r="AJU17" s="353"/>
      <c r="AJV17" s="353"/>
      <c r="AJW17" s="353"/>
      <c r="AJX17" s="353"/>
      <c r="AJY17" s="353"/>
      <c r="AJZ17" s="353"/>
      <c r="AKA17" s="353"/>
      <c r="AKB17" s="353"/>
      <c r="AKC17" s="353"/>
      <c r="AKD17" s="353"/>
      <c r="AKE17" s="353"/>
      <c r="AKF17" s="353"/>
      <c r="AKG17" s="353"/>
      <c r="AKH17" s="353"/>
      <c r="AKI17" s="353"/>
      <c r="AKJ17" s="353"/>
      <c r="AKK17" s="353"/>
      <c r="AKL17" s="353"/>
      <c r="AKM17" s="353"/>
      <c r="AKN17" s="353"/>
      <c r="AKO17" s="353"/>
      <c r="AKP17" s="353"/>
      <c r="AKQ17" s="353"/>
      <c r="AKR17" s="353"/>
      <c r="AKS17" s="353"/>
      <c r="AKT17" s="353"/>
      <c r="AKU17" s="353"/>
      <c r="AKV17" s="353"/>
      <c r="AKW17" s="353"/>
      <c r="AKX17" s="353"/>
      <c r="AKY17" s="353"/>
      <c r="AKZ17" s="353"/>
      <c r="ALA17" s="353"/>
      <c r="ALB17" s="353"/>
      <c r="ALC17" s="353"/>
      <c r="ALD17" s="353"/>
      <c r="ALE17" s="353"/>
      <c r="ALF17" s="353"/>
      <c r="ALG17" s="353"/>
      <c r="ALH17" s="353"/>
      <c r="ALI17" s="353"/>
      <c r="ALJ17" s="353"/>
      <c r="ALK17" s="353"/>
      <c r="ALL17" s="353"/>
      <c r="ALM17" s="353"/>
      <c r="ALN17" s="353"/>
      <c r="ALO17" s="353"/>
      <c r="ALP17" s="353"/>
      <c r="ALQ17" s="353"/>
      <c r="ALR17" s="353"/>
      <c r="ALS17" s="353"/>
      <c r="ALT17" s="353"/>
      <c r="ALU17" s="353"/>
      <c r="ALV17" s="353"/>
      <c r="ALW17" s="353"/>
      <c r="ALX17" s="353"/>
      <c r="ALY17" s="353"/>
      <c r="ALZ17" s="353"/>
      <c r="AMA17" s="353"/>
      <c r="AMB17" s="353"/>
      <c r="AMC17" s="353"/>
      <c r="AMD17" s="353"/>
      <c r="AME17" s="353"/>
      <c r="AMF17" s="353"/>
      <c r="AMG17" s="353"/>
      <c r="AMH17" s="353"/>
      <c r="AMI17" s="353"/>
      <c r="AMJ17" s="353"/>
      <c r="AMK17" s="353"/>
      <c r="AML17" s="353"/>
      <c r="AMM17" s="353"/>
      <c r="AMN17" s="353"/>
      <c r="AMO17" s="353"/>
      <c r="AMP17" s="353"/>
    </row>
    <row r="18" spans="2:1030" s="354" customFormat="1" ht="12.75" x14ac:dyDescent="0.2">
      <c r="B18" s="404">
        <f t="shared" si="13"/>
        <v>5</v>
      </c>
      <c r="C18" s="405" t="s">
        <v>288</v>
      </c>
      <c r="D18" s="406" t="s">
        <v>288</v>
      </c>
      <c r="E18" s="406" t="s">
        <v>289</v>
      </c>
      <c r="F18" s="407" t="s">
        <v>290</v>
      </c>
      <c r="G18" s="407" t="s">
        <v>291</v>
      </c>
      <c r="H18" s="408" t="s">
        <v>22</v>
      </c>
      <c r="I18" s="408" t="s">
        <v>21</v>
      </c>
      <c r="J18" s="408" t="s">
        <v>35</v>
      </c>
      <c r="K18" s="408" t="s">
        <v>35</v>
      </c>
      <c r="L18" s="408" t="s">
        <v>35</v>
      </c>
      <c r="M18" s="408" t="s">
        <v>37</v>
      </c>
      <c r="N18" s="409">
        <v>10483929.859999999</v>
      </c>
      <c r="O18" s="409">
        <v>0</v>
      </c>
      <c r="P18" s="409">
        <v>79007.347694787954</v>
      </c>
      <c r="Q18" s="409">
        <f t="shared" si="4"/>
        <v>0</v>
      </c>
      <c r="R18" s="409">
        <f t="shared" si="5"/>
        <v>10483929.859999999</v>
      </c>
      <c r="S18" s="410">
        <f t="shared" si="6"/>
        <v>8553294.4929191135</v>
      </c>
      <c r="T18" s="409">
        <f t="shared" si="7"/>
        <v>8553294.4929191135</v>
      </c>
      <c r="U18" s="411">
        <f t="shared" si="8"/>
        <v>3004772</v>
      </c>
      <c r="V18" s="411">
        <f t="shared" si="9"/>
        <v>1930635.3670808859</v>
      </c>
      <c r="W18" s="412">
        <v>0</v>
      </c>
      <c r="X18" s="412">
        <v>0</v>
      </c>
      <c r="Y18" s="411">
        <f t="shared" si="10"/>
        <v>8553294.4900000002</v>
      </c>
      <c r="Z18" s="411">
        <f t="shared" si="10"/>
        <v>3004772</v>
      </c>
      <c r="AA18" s="411">
        <f t="shared" si="11"/>
        <v>8553294.4900000002</v>
      </c>
      <c r="AB18" s="383"/>
      <c r="AC18" s="413"/>
      <c r="AD18" s="413" t="str">
        <f t="shared" si="12"/>
        <v/>
      </c>
      <c r="AE18" s="414" t="str">
        <f>IF($AD18="","",COUNTIFS($AD$14:AD18,"Yes"))</f>
        <v/>
      </c>
      <c r="AF18" s="413" t="b">
        <f>IF(C18="", "", AND(INDEX('Summary Dynamic'!$D$8:$D$10, MATCH(H18, 'Summary Dynamic'!$C$8:$C$10, 0))="Include", INDEX('Summary Dynamic'!$D$12:$D$14, MATCH(I18, 'Summary Dynamic'!$C$12:$C$14, 0))="Include", INDEX('Summary Dynamic'!$D$16:$D$17, MATCH(J18, 'Summary Dynamic'!$C$16:$C$17, 0))="Include", INDEX('Summary Dynamic'!$D$19:$D$20, MATCH(K18, 'Summary Dynamic'!$C$19:$C$20, 0))="Include", INDEX('Summary Dynamic'!$D$22:$D$23, MATCH(L18, 'Summary Dynamic'!$C$22:$C$23, 0))="Include", INDEX('Summary Dynamic'!$D$25:$D$26, MATCH(M18, 'Summary Dynamic'!$C$25:$C$26, 0))="Include"))</f>
        <v>1</v>
      </c>
      <c r="AG18" s="414">
        <f>IFERROR(IF(C18="", "", IF(AF18=TRUE, COUNTIFS($AF$14:AF18, TRUE), "n/a")), "n/a")</f>
        <v>5</v>
      </c>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3"/>
      <c r="FC18" s="353"/>
      <c r="FD18" s="353"/>
      <c r="FE18" s="353"/>
      <c r="FF18" s="353"/>
      <c r="FG18" s="353"/>
      <c r="FH18" s="353"/>
      <c r="FI18" s="353"/>
      <c r="FJ18" s="353"/>
      <c r="FK18" s="353"/>
      <c r="FL18" s="353"/>
      <c r="FM18" s="353"/>
      <c r="FN18" s="353"/>
      <c r="FO18" s="353"/>
      <c r="FP18" s="353"/>
      <c r="FQ18" s="353"/>
      <c r="FR18" s="353"/>
      <c r="FS18" s="353"/>
      <c r="FT18" s="353"/>
      <c r="FU18" s="353"/>
      <c r="FV18" s="353"/>
      <c r="FW18" s="353"/>
      <c r="FX18" s="353"/>
      <c r="FY18" s="353"/>
      <c r="FZ18" s="353"/>
      <c r="GA18" s="353"/>
      <c r="GB18" s="353"/>
      <c r="GC18" s="353"/>
      <c r="GD18" s="353"/>
      <c r="GE18" s="353"/>
      <c r="GF18" s="353"/>
      <c r="GG18" s="353"/>
      <c r="GH18" s="353"/>
      <c r="GI18" s="353"/>
      <c r="GJ18" s="353"/>
      <c r="GK18" s="353"/>
      <c r="GL18" s="353"/>
      <c r="GM18" s="353"/>
      <c r="GN18" s="353"/>
      <c r="GO18" s="353"/>
      <c r="GP18" s="353"/>
      <c r="GQ18" s="353"/>
      <c r="GR18" s="353"/>
      <c r="GS18" s="353"/>
      <c r="GT18" s="353"/>
      <c r="GU18" s="353"/>
      <c r="GV18" s="353"/>
      <c r="GW18" s="353"/>
      <c r="GX18" s="353"/>
      <c r="GY18" s="353"/>
      <c r="GZ18" s="353"/>
      <c r="HA18" s="353"/>
      <c r="HB18" s="353"/>
      <c r="HC18" s="353"/>
      <c r="HD18" s="353"/>
      <c r="HE18" s="353"/>
      <c r="HF18" s="353"/>
      <c r="HG18" s="353"/>
      <c r="HH18" s="353"/>
      <c r="HI18" s="353"/>
      <c r="HJ18" s="353"/>
      <c r="HK18" s="353"/>
      <c r="HL18" s="353"/>
      <c r="HM18" s="353"/>
      <c r="HN18" s="353"/>
      <c r="HO18" s="353"/>
      <c r="HP18" s="353"/>
      <c r="HQ18" s="353"/>
      <c r="HR18" s="353"/>
      <c r="HS18" s="353"/>
      <c r="HT18" s="353"/>
      <c r="HU18" s="353"/>
      <c r="HV18" s="353"/>
      <c r="HW18" s="353"/>
      <c r="HX18" s="353"/>
      <c r="HY18" s="353"/>
      <c r="HZ18" s="353"/>
      <c r="IA18" s="353"/>
      <c r="IB18" s="353"/>
      <c r="IC18" s="353"/>
      <c r="ID18" s="353"/>
      <c r="IE18" s="353"/>
      <c r="IF18" s="353"/>
      <c r="IG18" s="353"/>
      <c r="IH18" s="353"/>
      <c r="II18" s="353"/>
      <c r="IJ18" s="353"/>
      <c r="IK18" s="353"/>
      <c r="IL18" s="353"/>
      <c r="IM18" s="353"/>
      <c r="IN18" s="353"/>
      <c r="IO18" s="353"/>
      <c r="IP18" s="353"/>
      <c r="IQ18" s="353"/>
      <c r="IR18" s="353"/>
      <c r="IS18" s="353"/>
      <c r="IT18" s="353"/>
      <c r="IU18" s="353"/>
      <c r="IV18" s="353"/>
      <c r="IW18" s="353"/>
      <c r="IX18" s="353"/>
      <c r="IY18" s="353"/>
      <c r="IZ18" s="353"/>
      <c r="JA18" s="353"/>
      <c r="JB18" s="353"/>
      <c r="JC18" s="353"/>
      <c r="JD18" s="353"/>
      <c r="JE18" s="353"/>
      <c r="JF18" s="353"/>
      <c r="JG18" s="353"/>
      <c r="JH18" s="353"/>
      <c r="JI18" s="353"/>
      <c r="JJ18" s="353"/>
      <c r="JK18" s="353"/>
      <c r="JL18" s="353"/>
      <c r="JM18" s="353"/>
      <c r="JN18" s="353"/>
      <c r="JO18" s="353"/>
      <c r="JP18" s="353"/>
      <c r="JQ18" s="353"/>
      <c r="JR18" s="353"/>
      <c r="JS18" s="353"/>
      <c r="JT18" s="353"/>
      <c r="JU18" s="353"/>
      <c r="JV18" s="353"/>
      <c r="JW18" s="353"/>
      <c r="JX18" s="353"/>
      <c r="JY18" s="353"/>
      <c r="JZ18" s="353"/>
      <c r="KA18" s="353"/>
      <c r="KB18" s="353"/>
      <c r="KC18" s="353"/>
      <c r="KD18" s="353"/>
      <c r="KE18" s="353"/>
      <c r="KF18" s="353"/>
      <c r="KG18" s="353"/>
      <c r="KH18" s="353"/>
      <c r="KI18" s="353"/>
      <c r="KJ18" s="353"/>
      <c r="KK18" s="353"/>
      <c r="KL18" s="353"/>
      <c r="KM18" s="353"/>
      <c r="KN18" s="353"/>
      <c r="KO18" s="353"/>
      <c r="KP18" s="353"/>
      <c r="KQ18" s="353"/>
      <c r="KR18" s="353"/>
      <c r="KS18" s="353"/>
      <c r="KT18" s="353"/>
      <c r="KU18" s="353"/>
      <c r="KV18" s="353"/>
      <c r="KW18" s="353"/>
      <c r="KX18" s="353"/>
      <c r="KY18" s="353"/>
      <c r="KZ18" s="353"/>
      <c r="LA18" s="353"/>
      <c r="LB18" s="353"/>
      <c r="LC18" s="353"/>
      <c r="LD18" s="353"/>
      <c r="LE18" s="353"/>
      <c r="LF18" s="353"/>
      <c r="LG18" s="353"/>
      <c r="LH18" s="353"/>
      <c r="LI18" s="353"/>
      <c r="LJ18" s="353"/>
      <c r="LK18" s="353"/>
      <c r="LL18" s="353"/>
      <c r="LM18" s="353"/>
      <c r="LN18" s="353"/>
      <c r="LO18" s="353"/>
      <c r="LP18" s="353"/>
      <c r="LQ18" s="353"/>
      <c r="LR18" s="353"/>
      <c r="LS18" s="353"/>
      <c r="LT18" s="353"/>
      <c r="LU18" s="353"/>
      <c r="LV18" s="353"/>
      <c r="LW18" s="353"/>
      <c r="LX18" s="353"/>
      <c r="LY18" s="353"/>
      <c r="LZ18" s="353"/>
      <c r="MA18" s="353"/>
      <c r="MB18" s="353"/>
      <c r="MC18" s="353"/>
      <c r="MD18" s="353"/>
      <c r="ME18" s="353"/>
      <c r="MF18" s="353"/>
      <c r="MG18" s="353"/>
      <c r="MH18" s="353"/>
      <c r="MI18" s="353"/>
      <c r="MJ18" s="353"/>
      <c r="MK18" s="353"/>
      <c r="ML18" s="353"/>
      <c r="MM18" s="353"/>
      <c r="MN18" s="353"/>
      <c r="MO18" s="353"/>
      <c r="MP18" s="353"/>
      <c r="MQ18" s="353"/>
      <c r="MR18" s="353"/>
      <c r="MS18" s="353"/>
      <c r="MT18" s="353"/>
      <c r="MU18" s="353"/>
      <c r="MV18" s="353"/>
      <c r="MW18" s="353"/>
      <c r="MX18" s="353"/>
      <c r="MY18" s="353"/>
      <c r="MZ18" s="353"/>
      <c r="NA18" s="353"/>
      <c r="NB18" s="353"/>
      <c r="NC18" s="353"/>
      <c r="ND18" s="353"/>
      <c r="NE18" s="353"/>
      <c r="NF18" s="353"/>
      <c r="NG18" s="353"/>
      <c r="NH18" s="353"/>
      <c r="NI18" s="353"/>
      <c r="NJ18" s="353"/>
      <c r="NK18" s="353"/>
      <c r="NL18" s="353"/>
      <c r="NM18" s="353"/>
      <c r="NN18" s="353"/>
      <c r="NO18" s="353"/>
      <c r="NP18" s="353"/>
      <c r="NQ18" s="353"/>
      <c r="NR18" s="353"/>
      <c r="NS18" s="353"/>
      <c r="NT18" s="353"/>
      <c r="NU18" s="353"/>
      <c r="NV18" s="353"/>
      <c r="NW18" s="353"/>
      <c r="NX18" s="353"/>
      <c r="NY18" s="353"/>
      <c r="NZ18" s="353"/>
      <c r="OA18" s="353"/>
      <c r="OB18" s="353"/>
      <c r="OC18" s="353"/>
      <c r="OD18" s="353"/>
      <c r="OE18" s="353"/>
      <c r="OF18" s="353"/>
      <c r="OG18" s="353"/>
      <c r="OH18" s="353"/>
      <c r="OI18" s="353"/>
      <c r="OJ18" s="353"/>
      <c r="OK18" s="353"/>
      <c r="OL18" s="353"/>
      <c r="OM18" s="353"/>
      <c r="ON18" s="353"/>
      <c r="OO18" s="353"/>
      <c r="OP18" s="353"/>
      <c r="OQ18" s="353"/>
      <c r="OR18" s="353"/>
      <c r="OS18" s="353"/>
      <c r="OT18" s="353"/>
      <c r="OU18" s="353"/>
      <c r="OV18" s="353"/>
      <c r="OW18" s="353"/>
      <c r="OX18" s="353"/>
      <c r="OY18" s="353"/>
      <c r="OZ18" s="353"/>
      <c r="PA18" s="353"/>
      <c r="PB18" s="353"/>
      <c r="PC18" s="353"/>
      <c r="PD18" s="353"/>
      <c r="PE18" s="353"/>
      <c r="PF18" s="353"/>
      <c r="PG18" s="353"/>
      <c r="PH18" s="353"/>
      <c r="PI18" s="353"/>
      <c r="PJ18" s="353"/>
      <c r="PK18" s="353"/>
      <c r="PL18" s="353"/>
      <c r="PM18" s="353"/>
      <c r="PN18" s="353"/>
      <c r="PO18" s="353"/>
      <c r="PP18" s="353"/>
      <c r="PQ18" s="353"/>
      <c r="PR18" s="353"/>
      <c r="PS18" s="353"/>
      <c r="PT18" s="353"/>
      <c r="PU18" s="353"/>
      <c r="PV18" s="353"/>
      <c r="PW18" s="353"/>
      <c r="PX18" s="353"/>
      <c r="PY18" s="353"/>
      <c r="PZ18" s="353"/>
      <c r="QA18" s="353"/>
      <c r="QB18" s="353"/>
      <c r="QC18" s="353"/>
      <c r="QD18" s="353"/>
      <c r="QE18" s="353"/>
      <c r="QF18" s="353"/>
      <c r="QG18" s="353"/>
      <c r="QH18" s="353"/>
      <c r="QI18" s="353"/>
      <c r="QJ18" s="353"/>
      <c r="QK18" s="353"/>
      <c r="QL18" s="353"/>
      <c r="QM18" s="353"/>
      <c r="QN18" s="353"/>
      <c r="QO18" s="353"/>
      <c r="QP18" s="353"/>
      <c r="QQ18" s="353"/>
      <c r="QR18" s="353"/>
      <c r="QS18" s="353"/>
      <c r="QT18" s="353"/>
      <c r="QU18" s="353"/>
      <c r="QV18" s="353"/>
      <c r="QW18" s="353"/>
      <c r="QX18" s="353"/>
      <c r="QY18" s="353"/>
      <c r="QZ18" s="353"/>
      <c r="RA18" s="353"/>
      <c r="RB18" s="353"/>
      <c r="RC18" s="353"/>
      <c r="RD18" s="353"/>
      <c r="RE18" s="353"/>
      <c r="RF18" s="353"/>
      <c r="RG18" s="353"/>
      <c r="RH18" s="353"/>
      <c r="RI18" s="353"/>
      <c r="RJ18" s="353"/>
      <c r="RK18" s="353"/>
      <c r="RL18" s="353"/>
      <c r="RM18" s="353"/>
      <c r="RN18" s="353"/>
      <c r="RO18" s="353"/>
      <c r="RP18" s="353"/>
      <c r="RQ18" s="353"/>
      <c r="RR18" s="353"/>
      <c r="RS18" s="353"/>
      <c r="RT18" s="353"/>
      <c r="RU18" s="353"/>
      <c r="RV18" s="353"/>
      <c r="RW18" s="353"/>
      <c r="RX18" s="353"/>
      <c r="RY18" s="353"/>
      <c r="RZ18" s="353"/>
      <c r="SA18" s="353"/>
      <c r="SB18" s="353"/>
      <c r="SC18" s="353"/>
      <c r="SD18" s="353"/>
      <c r="SE18" s="353"/>
      <c r="SF18" s="353"/>
      <c r="SG18" s="353"/>
      <c r="SH18" s="353"/>
      <c r="SI18" s="353"/>
      <c r="SJ18" s="353"/>
      <c r="SK18" s="353"/>
      <c r="SL18" s="353"/>
      <c r="SM18" s="353"/>
      <c r="SN18" s="353"/>
      <c r="SO18" s="353"/>
      <c r="SP18" s="353"/>
      <c r="SQ18" s="353"/>
      <c r="SR18" s="353"/>
      <c r="SS18" s="353"/>
      <c r="ST18" s="353"/>
      <c r="SU18" s="353"/>
      <c r="SV18" s="353"/>
      <c r="SW18" s="353"/>
      <c r="SX18" s="353"/>
      <c r="SY18" s="353"/>
      <c r="SZ18" s="353"/>
      <c r="TA18" s="353"/>
      <c r="TB18" s="353"/>
      <c r="TC18" s="353"/>
      <c r="TD18" s="353"/>
      <c r="TE18" s="353"/>
      <c r="TF18" s="353"/>
      <c r="TG18" s="353"/>
      <c r="TH18" s="353"/>
      <c r="TI18" s="353"/>
      <c r="TJ18" s="353"/>
      <c r="TK18" s="353"/>
      <c r="TL18" s="353"/>
      <c r="TM18" s="353"/>
      <c r="TN18" s="353"/>
      <c r="TO18" s="353"/>
      <c r="TP18" s="353"/>
      <c r="TQ18" s="353"/>
      <c r="TR18" s="353"/>
      <c r="TS18" s="353"/>
      <c r="TT18" s="353"/>
      <c r="TU18" s="353"/>
      <c r="TV18" s="353"/>
      <c r="TW18" s="353"/>
      <c r="TX18" s="353"/>
      <c r="TY18" s="353"/>
      <c r="TZ18" s="353"/>
      <c r="UA18" s="353"/>
      <c r="UB18" s="353"/>
      <c r="UC18" s="353"/>
      <c r="UD18" s="353"/>
      <c r="UE18" s="353"/>
      <c r="UF18" s="353"/>
      <c r="UG18" s="353"/>
      <c r="UH18" s="353"/>
      <c r="UI18" s="353"/>
      <c r="UJ18" s="353"/>
      <c r="UK18" s="353"/>
      <c r="UL18" s="353"/>
      <c r="UM18" s="353"/>
      <c r="UN18" s="353"/>
      <c r="UO18" s="353"/>
      <c r="UP18" s="353"/>
      <c r="UQ18" s="353"/>
      <c r="UR18" s="353"/>
      <c r="US18" s="353"/>
      <c r="UT18" s="353"/>
      <c r="UU18" s="353"/>
      <c r="UV18" s="353"/>
      <c r="UW18" s="353"/>
      <c r="UX18" s="353"/>
      <c r="UY18" s="353"/>
      <c r="UZ18" s="353"/>
      <c r="VA18" s="353"/>
      <c r="VB18" s="353"/>
      <c r="VC18" s="353"/>
      <c r="VD18" s="353"/>
      <c r="VE18" s="353"/>
      <c r="VF18" s="353"/>
      <c r="VG18" s="353"/>
      <c r="VH18" s="353"/>
      <c r="VI18" s="353"/>
      <c r="VJ18" s="353"/>
      <c r="VK18" s="353"/>
      <c r="VL18" s="353"/>
      <c r="VM18" s="353"/>
      <c r="VN18" s="353"/>
      <c r="VO18" s="353"/>
      <c r="VP18" s="353"/>
      <c r="VQ18" s="353"/>
      <c r="VR18" s="353"/>
      <c r="VS18" s="353"/>
      <c r="VT18" s="353"/>
      <c r="VU18" s="353"/>
      <c r="VV18" s="353"/>
      <c r="VW18" s="353"/>
      <c r="VX18" s="353"/>
      <c r="VY18" s="353"/>
      <c r="VZ18" s="353"/>
      <c r="WA18" s="353"/>
      <c r="WB18" s="353"/>
      <c r="WC18" s="353"/>
      <c r="WD18" s="353"/>
      <c r="WE18" s="353"/>
      <c r="WF18" s="353"/>
      <c r="WG18" s="353"/>
      <c r="WH18" s="353"/>
      <c r="WI18" s="353"/>
      <c r="WJ18" s="353"/>
      <c r="WK18" s="353"/>
      <c r="WL18" s="353"/>
      <c r="WM18" s="353"/>
      <c r="WN18" s="353"/>
      <c r="WO18" s="353"/>
      <c r="WP18" s="353"/>
      <c r="WQ18" s="353"/>
      <c r="WR18" s="353"/>
      <c r="WS18" s="353"/>
      <c r="WT18" s="353"/>
      <c r="WU18" s="353"/>
      <c r="WV18" s="353"/>
      <c r="WW18" s="353"/>
      <c r="WX18" s="353"/>
      <c r="WY18" s="353"/>
      <c r="WZ18" s="353"/>
      <c r="XA18" s="353"/>
      <c r="XB18" s="353"/>
      <c r="XC18" s="353"/>
      <c r="XD18" s="353"/>
      <c r="XE18" s="353"/>
      <c r="XF18" s="353"/>
      <c r="XG18" s="353"/>
      <c r="XH18" s="353"/>
      <c r="XI18" s="353"/>
      <c r="XJ18" s="353"/>
      <c r="XK18" s="353"/>
      <c r="XL18" s="353"/>
      <c r="XM18" s="353"/>
      <c r="XN18" s="353"/>
      <c r="XO18" s="353"/>
      <c r="XP18" s="353"/>
      <c r="XQ18" s="353"/>
      <c r="XR18" s="353"/>
      <c r="XS18" s="353"/>
      <c r="XT18" s="353"/>
      <c r="XU18" s="353"/>
      <c r="XV18" s="353"/>
      <c r="XW18" s="353"/>
      <c r="XX18" s="353"/>
      <c r="XY18" s="353"/>
      <c r="XZ18" s="353"/>
      <c r="YA18" s="353"/>
      <c r="YB18" s="353"/>
      <c r="YC18" s="353"/>
      <c r="YD18" s="353"/>
      <c r="YE18" s="353"/>
      <c r="YF18" s="353"/>
      <c r="YG18" s="353"/>
      <c r="YH18" s="353"/>
      <c r="YI18" s="353"/>
      <c r="YJ18" s="353"/>
      <c r="YK18" s="353"/>
      <c r="YL18" s="353"/>
      <c r="YM18" s="353"/>
      <c r="YN18" s="353"/>
      <c r="YO18" s="353"/>
      <c r="YP18" s="353"/>
      <c r="YQ18" s="353"/>
      <c r="YR18" s="353"/>
      <c r="YS18" s="353"/>
      <c r="YT18" s="353"/>
      <c r="YU18" s="353"/>
      <c r="YV18" s="353"/>
      <c r="YW18" s="353"/>
      <c r="YX18" s="353"/>
      <c r="YY18" s="353"/>
      <c r="YZ18" s="353"/>
      <c r="ZA18" s="353"/>
      <c r="ZB18" s="353"/>
      <c r="ZC18" s="353"/>
      <c r="ZD18" s="353"/>
      <c r="ZE18" s="353"/>
      <c r="ZF18" s="353"/>
      <c r="ZG18" s="353"/>
      <c r="ZH18" s="353"/>
      <c r="ZI18" s="353"/>
      <c r="ZJ18" s="353"/>
      <c r="ZK18" s="353"/>
      <c r="ZL18" s="353"/>
      <c r="ZM18" s="353"/>
      <c r="ZN18" s="353"/>
      <c r="ZO18" s="353"/>
      <c r="ZP18" s="353"/>
      <c r="ZQ18" s="353"/>
      <c r="ZR18" s="353"/>
      <c r="ZS18" s="353"/>
      <c r="ZT18" s="353"/>
      <c r="ZU18" s="353"/>
      <c r="ZV18" s="353"/>
      <c r="ZW18" s="353"/>
      <c r="ZX18" s="353"/>
      <c r="ZY18" s="353"/>
      <c r="ZZ18" s="353"/>
      <c r="AAA18" s="353"/>
      <c r="AAB18" s="353"/>
      <c r="AAC18" s="353"/>
      <c r="AAD18" s="353"/>
      <c r="AAE18" s="353"/>
      <c r="AAF18" s="353"/>
      <c r="AAG18" s="353"/>
      <c r="AAH18" s="353"/>
      <c r="AAI18" s="353"/>
      <c r="AAJ18" s="353"/>
      <c r="AAK18" s="353"/>
      <c r="AAL18" s="353"/>
      <c r="AAM18" s="353"/>
      <c r="AAN18" s="353"/>
      <c r="AAO18" s="353"/>
      <c r="AAP18" s="353"/>
      <c r="AAQ18" s="353"/>
      <c r="AAR18" s="353"/>
      <c r="AAS18" s="353"/>
      <c r="AAT18" s="353"/>
      <c r="AAU18" s="353"/>
      <c r="AAV18" s="353"/>
      <c r="AAW18" s="353"/>
      <c r="AAX18" s="353"/>
      <c r="AAY18" s="353"/>
      <c r="AAZ18" s="353"/>
      <c r="ABA18" s="353"/>
      <c r="ABB18" s="353"/>
      <c r="ABC18" s="353"/>
      <c r="ABD18" s="353"/>
      <c r="ABE18" s="353"/>
      <c r="ABF18" s="353"/>
      <c r="ABG18" s="353"/>
      <c r="ABH18" s="353"/>
      <c r="ABI18" s="353"/>
      <c r="ABJ18" s="353"/>
      <c r="ABK18" s="353"/>
      <c r="ABL18" s="353"/>
      <c r="ABM18" s="353"/>
      <c r="ABN18" s="353"/>
      <c r="ABO18" s="353"/>
      <c r="ABP18" s="353"/>
      <c r="ABQ18" s="353"/>
      <c r="ABR18" s="353"/>
      <c r="ABS18" s="353"/>
      <c r="ABT18" s="353"/>
      <c r="ABU18" s="353"/>
      <c r="ABV18" s="353"/>
      <c r="ABW18" s="353"/>
      <c r="ABX18" s="353"/>
      <c r="ABY18" s="353"/>
      <c r="ABZ18" s="353"/>
      <c r="ACA18" s="353"/>
      <c r="ACB18" s="353"/>
      <c r="ACC18" s="353"/>
      <c r="ACD18" s="353"/>
      <c r="ACE18" s="353"/>
      <c r="ACF18" s="353"/>
      <c r="ACG18" s="353"/>
      <c r="ACH18" s="353"/>
      <c r="ACI18" s="353"/>
      <c r="ACJ18" s="353"/>
      <c r="ACK18" s="353"/>
      <c r="ACL18" s="353"/>
      <c r="ACM18" s="353"/>
      <c r="ACN18" s="353"/>
      <c r="ACO18" s="353"/>
      <c r="ACP18" s="353"/>
      <c r="ACQ18" s="353"/>
      <c r="ACR18" s="353"/>
      <c r="ACS18" s="353"/>
      <c r="ACT18" s="353"/>
      <c r="ACU18" s="353"/>
      <c r="ACV18" s="353"/>
      <c r="ACW18" s="353"/>
      <c r="ACX18" s="353"/>
      <c r="ACY18" s="353"/>
      <c r="ACZ18" s="353"/>
      <c r="ADA18" s="353"/>
      <c r="ADB18" s="353"/>
      <c r="ADC18" s="353"/>
      <c r="ADD18" s="353"/>
      <c r="ADE18" s="353"/>
      <c r="ADF18" s="353"/>
      <c r="ADG18" s="353"/>
      <c r="ADH18" s="353"/>
      <c r="ADI18" s="353"/>
      <c r="ADJ18" s="353"/>
      <c r="ADK18" s="353"/>
      <c r="ADL18" s="353"/>
      <c r="ADM18" s="353"/>
      <c r="ADN18" s="353"/>
      <c r="ADO18" s="353"/>
      <c r="ADP18" s="353"/>
      <c r="ADQ18" s="353"/>
      <c r="ADR18" s="353"/>
      <c r="ADS18" s="353"/>
      <c r="ADT18" s="353"/>
      <c r="ADU18" s="353"/>
      <c r="ADV18" s="353"/>
      <c r="ADW18" s="353"/>
      <c r="ADX18" s="353"/>
      <c r="ADY18" s="353"/>
      <c r="ADZ18" s="353"/>
      <c r="AEA18" s="353"/>
      <c r="AEB18" s="353"/>
      <c r="AEC18" s="353"/>
      <c r="AED18" s="353"/>
      <c r="AEE18" s="353"/>
      <c r="AEF18" s="353"/>
      <c r="AEG18" s="353"/>
      <c r="AEH18" s="353"/>
      <c r="AEI18" s="353"/>
      <c r="AEJ18" s="353"/>
      <c r="AEK18" s="353"/>
      <c r="AEL18" s="353"/>
      <c r="AEM18" s="353"/>
      <c r="AEN18" s="353"/>
      <c r="AEO18" s="353"/>
      <c r="AEP18" s="353"/>
      <c r="AEQ18" s="353"/>
      <c r="AER18" s="353"/>
      <c r="AES18" s="353"/>
      <c r="AET18" s="353"/>
      <c r="AEU18" s="353"/>
      <c r="AEV18" s="353"/>
      <c r="AEW18" s="353"/>
      <c r="AEX18" s="353"/>
      <c r="AEY18" s="353"/>
      <c r="AEZ18" s="353"/>
      <c r="AFA18" s="353"/>
      <c r="AFB18" s="353"/>
      <c r="AFC18" s="353"/>
      <c r="AFD18" s="353"/>
      <c r="AFE18" s="353"/>
      <c r="AFF18" s="353"/>
      <c r="AFG18" s="353"/>
      <c r="AFH18" s="353"/>
      <c r="AFI18" s="353"/>
      <c r="AFJ18" s="353"/>
      <c r="AFK18" s="353"/>
      <c r="AFL18" s="353"/>
      <c r="AFM18" s="353"/>
      <c r="AFN18" s="353"/>
      <c r="AFO18" s="353"/>
      <c r="AFP18" s="353"/>
      <c r="AFQ18" s="353"/>
      <c r="AFR18" s="353"/>
      <c r="AFS18" s="353"/>
      <c r="AFT18" s="353"/>
      <c r="AFU18" s="353"/>
      <c r="AFV18" s="353"/>
      <c r="AFW18" s="353"/>
      <c r="AFX18" s="353"/>
      <c r="AFY18" s="353"/>
      <c r="AFZ18" s="353"/>
      <c r="AGA18" s="353"/>
      <c r="AGB18" s="353"/>
      <c r="AGC18" s="353"/>
      <c r="AGD18" s="353"/>
      <c r="AGE18" s="353"/>
      <c r="AGF18" s="353"/>
      <c r="AGG18" s="353"/>
      <c r="AGH18" s="353"/>
      <c r="AGI18" s="353"/>
      <c r="AGJ18" s="353"/>
      <c r="AGK18" s="353"/>
      <c r="AGL18" s="353"/>
      <c r="AGM18" s="353"/>
      <c r="AGN18" s="353"/>
      <c r="AGO18" s="353"/>
      <c r="AGP18" s="353"/>
      <c r="AGQ18" s="353"/>
      <c r="AGR18" s="353"/>
      <c r="AGS18" s="353"/>
      <c r="AGT18" s="353"/>
      <c r="AGU18" s="353"/>
      <c r="AGV18" s="353"/>
      <c r="AGW18" s="353"/>
      <c r="AGX18" s="353"/>
      <c r="AGY18" s="353"/>
      <c r="AGZ18" s="353"/>
      <c r="AHA18" s="353"/>
      <c r="AHB18" s="353"/>
      <c r="AHC18" s="353"/>
      <c r="AHD18" s="353"/>
      <c r="AHE18" s="353"/>
      <c r="AHF18" s="353"/>
      <c r="AHG18" s="353"/>
      <c r="AHH18" s="353"/>
      <c r="AHI18" s="353"/>
      <c r="AHJ18" s="353"/>
      <c r="AHK18" s="353"/>
      <c r="AHL18" s="353"/>
      <c r="AHM18" s="353"/>
      <c r="AHN18" s="353"/>
      <c r="AHO18" s="353"/>
      <c r="AHP18" s="353"/>
      <c r="AHQ18" s="353"/>
      <c r="AHR18" s="353"/>
      <c r="AHS18" s="353"/>
      <c r="AHT18" s="353"/>
      <c r="AHU18" s="353"/>
      <c r="AHV18" s="353"/>
      <c r="AHW18" s="353"/>
      <c r="AHX18" s="353"/>
      <c r="AHY18" s="353"/>
      <c r="AHZ18" s="353"/>
      <c r="AIA18" s="353"/>
      <c r="AIB18" s="353"/>
      <c r="AIC18" s="353"/>
      <c r="AID18" s="353"/>
      <c r="AIE18" s="353"/>
      <c r="AIF18" s="353"/>
      <c r="AIG18" s="353"/>
      <c r="AIH18" s="353"/>
      <c r="AII18" s="353"/>
      <c r="AIJ18" s="353"/>
      <c r="AIK18" s="353"/>
      <c r="AIL18" s="353"/>
      <c r="AIM18" s="353"/>
      <c r="AIN18" s="353"/>
      <c r="AIO18" s="353"/>
      <c r="AIP18" s="353"/>
      <c r="AIQ18" s="353"/>
      <c r="AIR18" s="353"/>
      <c r="AIS18" s="353"/>
      <c r="AIT18" s="353"/>
      <c r="AIU18" s="353"/>
      <c r="AIV18" s="353"/>
      <c r="AIW18" s="353"/>
      <c r="AIX18" s="353"/>
      <c r="AIY18" s="353"/>
      <c r="AIZ18" s="353"/>
      <c r="AJA18" s="353"/>
      <c r="AJB18" s="353"/>
      <c r="AJC18" s="353"/>
      <c r="AJD18" s="353"/>
      <c r="AJE18" s="353"/>
      <c r="AJF18" s="353"/>
      <c r="AJG18" s="353"/>
      <c r="AJH18" s="353"/>
      <c r="AJI18" s="353"/>
      <c r="AJJ18" s="353"/>
      <c r="AJK18" s="353"/>
      <c r="AJL18" s="353"/>
      <c r="AJM18" s="353"/>
      <c r="AJN18" s="353"/>
      <c r="AJO18" s="353"/>
      <c r="AJP18" s="353"/>
      <c r="AJQ18" s="353"/>
      <c r="AJR18" s="353"/>
      <c r="AJS18" s="353"/>
      <c r="AJT18" s="353"/>
      <c r="AJU18" s="353"/>
      <c r="AJV18" s="353"/>
      <c r="AJW18" s="353"/>
      <c r="AJX18" s="353"/>
      <c r="AJY18" s="353"/>
      <c r="AJZ18" s="353"/>
      <c r="AKA18" s="353"/>
      <c r="AKB18" s="353"/>
      <c r="AKC18" s="353"/>
      <c r="AKD18" s="353"/>
      <c r="AKE18" s="353"/>
      <c r="AKF18" s="353"/>
      <c r="AKG18" s="353"/>
      <c r="AKH18" s="353"/>
      <c r="AKI18" s="353"/>
      <c r="AKJ18" s="353"/>
      <c r="AKK18" s="353"/>
      <c r="AKL18" s="353"/>
      <c r="AKM18" s="353"/>
      <c r="AKN18" s="353"/>
      <c r="AKO18" s="353"/>
      <c r="AKP18" s="353"/>
      <c r="AKQ18" s="353"/>
      <c r="AKR18" s="353"/>
      <c r="AKS18" s="353"/>
      <c r="AKT18" s="353"/>
      <c r="AKU18" s="353"/>
      <c r="AKV18" s="353"/>
      <c r="AKW18" s="353"/>
      <c r="AKX18" s="353"/>
      <c r="AKY18" s="353"/>
      <c r="AKZ18" s="353"/>
      <c r="ALA18" s="353"/>
      <c r="ALB18" s="353"/>
      <c r="ALC18" s="353"/>
      <c r="ALD18" s="353"/>
      <c r="ALE18" s="353"/>
      <c r="ALF18" s="353"/>
      <c r="ALG18" s="353"/>
      <c r="ALH18" s="353"/>
      <c r="ALI18" s="353"/>
      <c r="ALJ18" s="353"/>
      <c r="ALK18" s="353"/>
      <c r="ALL18" s="353"/>
      <c r="ALM18" s="353"/>
      <c r="ALN18" s="353"/>
      <c r="ALO18" s="353"/>
      <c r="ALP18" s="353"/>
      <c r="ALQ18" s="353"/>
      <c r="ALR18" s="353"/>
      <c r="ALS18" s="353"/>
      <c r="ALT18" s="353"/>
      <c r="ALU18" s="353"/>
      <c r="ALV18" s="353"/>
      <c r="ALW18" s="353"/>
      <c r="ALX18" s="353"/>
      <c r="ALY18" s="353"/>
      <c r="ALZ18" s="353"/>
      <c r="AMA18" s="353"/>
      <c r="AMB18" s="353"/>
      <c r="AMC18" s="353"/>
      <c r="AMD18" s="353"/>
      <c r="AME18" s="353"/>
      <c r="AMF18" s="353"/>
      <c r="AMG18" s="353"/>
      <c r="AMH18" s="353"/>
      <c r="AMI18" s="353"/>
      <c r="AMJ18" s="353"/>
      <c r="AMK18" s="353"/>
      <c r="AML18" s="353"/>
      <c r="AMM18" s="353"/>
      <c r="AMN18" s="353"/>
      <c r="AMO18" s="353"/>
      <c r="AMP18" s="353"/>
    </row>
    <row r="19" spans="2:1030" s="354" customFormat="1" ht="12.75" x14ac:dyDescent="0.2">
      <c r="B19" s="404">
        <f t="shared" si="13"/>
        <v>6</v>
      </c>
      <c r="C19" s="405" t="s">
        <v>292</v>
      </c>
      <c r="D19" s="406" t="s">
        <v>292</v>
      </c>
      <c r="E19" s="406" t="s">
        <v>293</v>
      </c>
      <c r="F19" s="407" t="s">
        <v>294</v>
      </c>
      <c r="G19" s="407" t="s">
        <v>282</v>
      </c>
      <c r="H19" s="408" t="s">
        <v>22</v>
      </c>
      <c r="I19" s="408" t="s">
        <v>21</v>
      </c>
      <c r="J19" s="408" t="s">
        <v>35</v>
      </c>
      <c r="K19" s="408" t="s">
        <v>35</v>
      </c>
      <c r="L19" s="408" t="s">
        <v>37</v>
      </c>
      <c r="M19" s="408" t="s">
        <v>35</v>
      </c>
      <c r="N19" s="409">
        <v>60301807.149999999</v>
      </c>
      <c r="O19" s="409">
        <v>0</v>
      </c>
      <c r="P19" s="409">
        <v>18158129.378390178</v>
      </c>
      <c r="Q19" s="409">
        <f t="shared" si="4"/>
        <v>0</v>
      </c>
      <c r="R19" s="409">
        <f t="shared" si="5"/>
        <v>60301807.149999999</v>
      </c>
      <c r="S19" s="410">
        <f t="shared" si="6"/>
        <v>54271626</v>
      </c>
      <c r="T19" s="409">
        <f t="shared" si="7"/>
        <v>54271626</v>
      </c>
      <c r="U19" s="411">
        <f t="shared" si="8"/>
        <v>19065622</v>
      </c>
      <c r="V19" s="411">
        <f t="shared" si="9"/>
        <v>6030181.1499999985</v>
      </c>
      <c r="W19" s="412">
        <v>0</v>
      </c>
      <c r="X19" s="412">
        <v>0</v>
      </c>
      <c r="Y19" s="411">
        <f t="shared" si="10"/>
        <v>54271626</v>
      </c>
      <c r="Z19" s="411">
        <f t="shared" si="10"/>
        <v>19065622</v>
      </c>
      <c r="AA19" s="411">
        <f t="shared" si="11"/>
        <v>0</v>
      </c>
      <c r="AB19" s="383"/>
      <c r="AC19" s="413"/>
      <c r="AD19" s="413" t="str">
        <f t="shared" si="12"/>
        <v/>
      </c>
      <c r="AE19" s="414" t="str">
        <f>IF($AD19="","",COUNTIFS($AD$14:AD19,"Yes"))</f>
        <v/>
      </c>
      <c r="AF19" s="413" t="b">
        <f>IF(C19="", "", AND(INDEX('Summary Dynamic'!$D$8:$D$10, MATCH(H19, 'Summary Dynamic'!$C$8:$C$10, 0))="Include", INDEX('Summary Dynamic'!$D$12:$D$14, MATCH(I19, 'Summary Dynamic'!$C$12:$C$14, 0))="Include", INDEX('Summary Dynamic'!$D$16:$D$17, MATCH(J19, 'Summary Dynamic'!$C$16:$C$17, 0))="Include", INDEX('Summary Dynamic'!$D$19:$D$20, MATCH(K19, 'Summary Dynamic'!$C$19:$C$20, 0))="Include", INDEX('Summary Dynamic'!$D$22:$D$23, MATCH(L19, 'Summary Dynamic'!$C$22:$C$23, 0))="Include", INDEX('Summary Dynamic'!$D$25:$D$26, MATCH(M19, 'Summary Dynamic'!$C$25:$C$26, 0))="Include"))</f>
        <v>1</v>
      </c>
      <c r="AG19" s="414">
        <f>IFERROR(IF(C19="", "", IF(AF19=TRUE, COUNTIFS($AF$14:AF19, TRUE), "n/a")), "n/a")</f>
        <v>6</v>
      </c>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c r="DU19" s="353"/>
      <c r="DV19" s="353"/>
      <c r="DW19" s="353"/>
      <c r="DX19" s="353"/>
      <c r="DY19" s="353"/>
      <c r="DZ19" s="353"/>
      <c r="EA19" s="353"/>
      <c r="EB19" s="353"/>
      <c r="EC19" s="353"/>
      <c r="ED19" s="353"/>
      <c r="EE19" s="353"/>
      <c r="EF19" s="353"/>
      <c r="EG19" s="353"/>
      <c r="EH19" s="353"/>
      <c r="EI19" s="353"/>
      <c r="EJ19" s="353"/>
      <c r="EK19" s="353"/>
      <c r="EL19" s="353"/>
      <c r="EM19" s="353"/>
      <c r="EN19" s="353"/>
      <c r="EO19" s="353"/>
      <c r="EP19" s="353"/>
      <c r="EQ19" s="353"/>
      <c r="ER19" s="353"/>
      <c r="ES19" s="353"/>
      <c r="ET19" s="353"/>
      <c r="EU19" s="353"/>
      <c r="EV19" s="353"/>
      <c r="EW19" s="353"/>
      <c r="EX19" s="353"/>
      <c r="EY19" s="353"/>
      <c r="EZ19" s="353"/>
      <c r="FA19" s="353"/>
      <c r="FB19" s="353"/>
      <c r="FC19" s="353"/>
      <c r="FD19" s="353"/>
      <c r="FE19" s="353"/>
      <c r="FF19" s="353"/>
      <c r="FG19" s="353"/>
      <c r="FH19" s="353"/>
      <c r="FI19" s="353"/>
      <c r="FJ19" s="353"/>
      <c r="FK19" s="353"/>
      <c r="FL19" s="353"/>
      <c r="FM19" s="353"/>
      <c r="FN19" s="353"/>
      <c r="FO19" s="353"/>
      <c r="FP19" s="353"/>
      <c r="FQ19" s="353"/>
      <c r="FR19" s="353"/>
      <c r="FS19" s="353"/>
      <c r="FT19" s="353"/>
      <c r="FU19" s="353"/>
      <c r="FV19" s="353"/>
      <c r="FW19" s="353"/>
      <c r="FX19" s="353"/>
      <c r="FY19" s="353"/>
      <c r="FZ19" s="353"/>
      <c r="GA19" s="353"/>
      <c r="GB19" s="353"/>
      <c r="GC19" s="353"/>
      <c r="GD19" s="353"/>
      <c r="GE19" s="353"/>
      <c r="GF19" s="353"/>
      <c r="GG19" s="353"/>
      <c r="GH19" s="353"/>
      <c r="GI19" s="353"/>
      <c r="GJ19" s="353"/>
      <c r="GK19" s="353"/>
      <c r="GL19" s="353"/>
      <c r="GM19" s="353"/>
      <c r="GN19" s="353"/>
      <c r="GO19" s="353"/>
      <c r="GP19" s="353"/>
      <c r="GQ19" s="353"/>
      <c r="GR19" s="353"/>
      <c r="GS19" s="353"/>
      <c r="GT19" s="353"/>
      <c r="GU19" s="353"/>
      <c r="GV19" s="353"/>
      <c r="GW19" s="353"/>
      <c r="GX19" s="353"/>
      <c r="GY19" s="353"/>
      <c r="GZ19" s="353"/>
      <c r="HA19" s="353"/>
      <c r="HB19" s="353"/>
      <c r="HC19" s="353"/>
      <c r="HD19" s="353"/>
      <c r="HE19" s="353"/>
      <c r="HF19" s="353"/>
      <c r="HG19" s="353"/>
      <c r="HH19" s="353"/>
      <c r="HI19" s="353"/>
      <c r="HJ19" s="353"/>
      <c r="HK19" s="353"/>
      <c r="HL19" s="353"/>
      <c r="HM19" s="353"/>
      <c r="HN19" s="353"/>
      <c r="HO19" s="353"/>
      <c r="HP19" s="353"/>
      <c r="HQ19" s="353"/>
      <c r="HR19" s="353"/>
      <c r="HS19" s="353"/>
      <c r="HT19" s="353"/>
      <c r="HU19" s="353"/>
      <c r="HV19" s="353"/>
      <c r="HW19" s="353"/>
      <c r="HX19" s="353"/>
      <c r="HY19" s="353"/>
      <c r="HZ19" s="353"/>
      <c r="IA19" s="353"/>
      <c r="IB19" s="353"/>
      <c r="IC19" s="353"/>
      <c r="ID19" s="353"/>
      <c r="IE19" s="353"/>
      <c r="IF19" s="353"/>
      <c r="IG19" s="353"/>
      <c r="IH19" s="353"/>
      <c r="II19" s="353"/>
      <c r="IJ19" s="353"/>
      <c r="IK19" s="353"/>
      <c r="IL19" s="353"/>
      <c r="IM19" s="353"/>
      <c r="IN19" s="353"/>
      <c r="IO19" s="353"/>
      <c r="IP19" s="353"/>
      <c r="IQ19" s="353"/>
      <c r="IR19" s="353"/>
      <c r="IS19" s="353"/>
      <c r="IT19" s="353"/>
      <c r="IU19" s="353"/>
      <c r="IV19" s="353"/>
      <c r="IW19" s="353"/>
      <c r="IX19" s="353"/>
      <c r="IY19" s="353"/>
      <c r="IZ19" s="353"/>
      <c r="JA19" s="353"/>
      <c r="JB19" s="353"/>
      <c r="JC19" s="353"/>
      <c r="JD19" s="353"/>
      <c r="JE19" s="353"/>
      <c r="JF19" s="353"/>
      <c r="JG19" s="353"/>
      <c r="JH19" s="353"/>
      <c r="JI19" s="353"/>
      <c r="JJ19" s="353"/>
      <c r="JK19" s="353"/>
      <c r="JL19" s="353"/>
      <c r="JM19" s="353"/>
      <c r="JN19" s="353"/>
      <c r="JO19" s="353"/>
      <c r="JP19" s="353"/>
      <c r="JQ19" s="353"/>
      <c r="JR19" s="353"/>
      <c r="JS19" s="353"/>
      <c r="JT19" s="353"/>
      <c r="JU19" s="353"/>
      <c r="JV19" s="353"/>
      <c r="JW19" s="353"/>
      <c r="JX19" s="353"/>
      <c r="JY19" s="353"/>
      <c r="JZ19" s="353"/>
      <c r="KA19" s="353"/>
      <c r="KB19" s="353"/>
      <c r="KC19" s="353"/>
      <c r="KD19" s="353"/>
      <c r="KE19" s="353"/>
      <c r="KF19" s="353"/>
      <c r="KG19" s="353"/>
      <c r="KH19" s="353"/>
      <c r="KI19" s="353"/>
      <c r="KJ19" s="353"/>
      <c r="KK19" s="353"/>
      <c r="KL19" s="353"/>
      <c r="KM19" s="353"/>
      <c r="KN19" s="353"/>
      <c r="KO19" s="353"/>
      <c r="KP19" s="353"/>
      <c r="KQ19" s="353"/>
      <c r="KR19" s="353"/>
      <c r="KS19" s="353"/>
      <c r="KT19" s="353"/>
      <c r="KU19" s="353"/>
      <c r="KV19" s="353"/>
      <c r="KW19" s="353"/>
      <c r="KX19" s="353"/>
      <c r="KY19" s="353"/>
      <c r="KZ19" s="353"/>
      <c r="LA19" s="353"/>
      <c r="LB19" s="353"/>
      <c r="LC19" s="353"/>
      <c r="LD19" s="353"/>
      <c r="LE19" s="353"/>
      <c r="LF19" s="353"/>
      <c r="LG19" s="353"/>
      <c r="LH19" s="353"/>
      <c r="LI19" s="353"/>
      <c r="LJ19" s="353"/>
      <c r="LK19" s="353"/>
      <c r="LL19" s="353"/>
      <c r="LM19" s="353"/>
      <c r="LN19" s="353"/>
      <c r="LO19" s="353"/>
      <c r="LP19" s="353"/>
      <c r="LQ19" s="353"/>
      <c r="LR19" s="353"/>
      <c r="LS19" s="353"/>
      <c r="LT19" s="353"/>
      <c r="LU19" s="353"/>
      <c r="LV19" s="353"/>
      <c r="LW19" s="353"/>
      <c r="LX19" s="353"/>
      <c r="LY19" s="353"/>
      <c r="LZ19" s="353"/>
      <c r="MA19" s="353"/>
      <c r="MB19" s="353"/>
      <c r="MC19" s="353"/>
      <c r="MD19" s="353"/>
      <c r="ME19" s="353"/>
      <c r="MF19" s="353"/>
      <c r="MG19" s="353"/>
      <c r="MH19" s="353"/>
      <c r="MI19" s="353"/>
      <c r="MJ19" s="353"/>
      <c r="MK19" s="353"/>
      <c r="ML19" s="353"/>
      <c r="MM19" s="353"/>
      <c r="MN19" s="353"/>
      <c r="MO19" s="353"/>
      <c r="MP19" s="353"/>
      <c r="MQ19" s="353"/>
      <c r="MR19" s="353"/>
      <c r="MS19" s="353"/>
      <c r="MT19" s="353"/>
      <c r="MU19" s="353"/>
      <c r="MV19" s="353"/>
      <c r="MW19" s="353"/>
      <c r="MX19" s="353"/>
      <c r="MY19" s="353"/>
      <c r="MZ19" s="353"/>
      <c r="NA19" s="353"/>
      <c r="NB19" s="353"/>
      <c r="NC19" s="353"/>
      <c r="ND19" s="353"/>
      <c r="NE19" s="353"/>
      <c r="NF19" s="353"/>
      <c r="NG19" s="353"/>
      <c r="NH19" s="353"/>
      <c r="NI19" s="353"/>
      <c r="NJ19" s="353"/>
      <c r="NK19" s="353"/>
      <c r="NL19" s="353"/>
      <c r="NM19" s="353"/>
      <c r="NN19" s="353"/>
      <c r="NO19" s="353"/>
      <c r="NP19" s="353"/>
      <c r="NQ19" s="353"/>
      <c r="NR19" s="353"/>
      <c r="NS19" s="353"/>
      <c r="NT19" s="353"/>
      <c r="NU19" s="353"/>
      <c r="NV19" s="353"/>
      <c r="NW19" s="353"/>
      <c r="NX19" s="353"/>
      <c r="NY19" s="353"/>
      <c r="NZ19" s="353"/>
      <c r="OA19" s="353"/>
      <c r="OB19" s="353"/>
      <c r="OC19" s="353"/>
      <c r="OD19" s="353"/>
      <c r="OE19" s="353"/>
      <c r="OF19" s="353"/>
      <c r="OG19" s="353"/>
      <c r="OH19" s="353"/>
      <c r="OI19" s="353"/>
      <c r="OJ19" s="353"/>
      <c r="OK19" s="353"/>
      <c r="OL19" s="353"/>
      <c r="OM19" s="353"/>
      <c r="ON19" s="353"/>
      <c r="OO19" s="353"/>
      <c r="OP19" s="353"/>
      <c r="OQ19" s="353"/>
      <c r="OR19" s="353"/>
      <c r="OS19" s="353"/>
      <c r="OT19" s="353"/>
      <c r="OU19" s="353"/>
      <c r="OV19" s="353"/>
      <c r="OW19" s="353"/>
      <c r="OX19" s="353"/>
      <c r="OY19" s="353"/>
      <c r="OZ19" s="353"/>
      <c r="PA19" s="353"/>
      <c r="PB19" s="353"/>
      <c r="PC19" s="353"/>
      <c r="PD19" s="353"/>
      <c r="PE19" s="353"/>
      <c r="PF19" s="353"/>
      <c r="PG19" s="353"/>
      <c r="PH19" s="353"/>
      <c r="PI19" s="353"/>
      <c r="PJ19" s="353"/>
      <c r="PK19" s="353"/>
      <c r="PL19" s="353"/>
      <c r="PM19" s="353"/>
      <c r="PN19" s="353"/>
      <c r="PO19" s="353"/>
      <c r="PP19" s="353"/>
      <c r="PQ19" s="353"/>
      <c r="PR19" s="353"/>
      <c r="PS19" s="353"/>
      <c r="PT19" s="353"/>
      <c r="PU19" s="353"/>
      <c r="PV19" s="353"/>
      <c r="PW19" s="353"/>
      <c r="PX19" s="353"/>
      <c r="PY19" s="353"/>
      <c r="PZ19" s="353"/>
      <c r="QA19" s="353"/>
      <c r="QB19" s="353"/>
      <c r="QC19" s="353"/>
      <c r="QD19" s="353"/>
      <c r="QE19" s="353"/>
      <c r="QF19" s="353"/>
      <c r="QG19" s="353"/>
      <c r="QH19" s="353"/>
      <c r="QI19" s="353"/>
      <c r="QJ19" s="353"/>
      <c r="QK19" s="353"/>
      <c r="QL19" s="353"/>
      <c r="QM19" s="353"/>
      <c r="QN19" s="353"/>
      <c r="QO19" s="353"/>
      <c r="QP19" s="353"/>
      <c r="QQ19" s="353"/>
      <c r="QR19" s="353"/>
      <c r="QS19" s="353"/>
      <c r="QT19" s="353"/>
      <c r="QU19" s="353"/>
      <c r="QV19" s="353"/>
      <c r="QW19" s="353"/>
      <c r="QX19" s="353"/>
      <c r="QY19" s="353"/>
      <c r="QZ19" s="353"/>
      <c r="RA19" s="353"/>
      <c r="RB19" s="353"/>
      <c r="RC19" s="353"/>
      <c r="RD19" s="353"/>
      <c r="RE19" s="353"/>
      <c r="RF19" s="353"/>
      <c r="RG19" s="353"/>
      <c r="RH19" s="353"/>
      <c r="RI19" s="353"/>
      <c r="RJ19" s="353"/>
      <c r="RK19" s="353"/>
      <c r="RL19" s="353"/>
      <c r="RM19" s="353"/>
      <c r="RN19" s="353"/>
      <c r="RO19" s="353"/>
      <c r="RP19" s="353"/>
      <c r="RQ19" s="353"/>
      <c r="RR19" s="353"/>
      <c r="RS19" s="353"/>
      <c r="RT19" s="353"/>
      <c r="RU19" s="353"/>
      <c r="RV19" s="353"/>
      <c r="RW19" s="353"/>
      <c r="RX19" s="353"/>
      <c r="RY19" s="353"/>
      <c r="RZ19" s="353"/>
      <c r="SA19" s="353"/>
      <c r="SB19" s="353"/>
      <c r="SC19" s="353"/>
      <c r="SD19" s="353"/>
      <c r="SE19" s="353"/>
      <c r="SF19" s="353"/>
      <c r="SG19" s="353"/>
      <c r="SH19" s="353"/>
      <c r="SI19" s="353"/>
      <c r="SJ19" s="353"/>
      <c r="SK19" s="353"/>
      <c r="SL19" s="353"/>
      <c r="SM19" s="353"/>
      <c r="SN19" s="353"/>
      <c r="SO19" s="353"/>
      <c r="SP19" s="353"/>
      <c r="SQ19" s="353"/>
      <c r="SR19" s="353"/>
      <c r="SS19" s="353"/>
      <c r="ST19" s="353"/>
      <c r="SU19" s="353"/>
      <c r="SV19" s="353"/>
      <c r="SW19" s="353"/>
      <c r="SX19" s="353"/>
      <c r="SY19" s="353"/>
      <c r="SZ19" s="353"/>
      <c r="TA19" s="353"/>
      <c r="TB19" s="353"/>
      <c r="TC19" s="353"/>
      <c r="TD19" s="353"/>
      <c r="TE19" s="353"/>
      <c r="TF19" s="353"/>
      <c r="TG19" s="353"/>
      <c r="TH19" s="353"/>
      <c r="TI19" s="353"/>
      <c r="TJ19" s="353"/>
      <c r="TK19" s="353"/>
      <c r="TL19" s="353"/>
      <c r="TM19" s="353"/>
      <c r="TN19" s="353"/>
      <c r="TO19" s="353"/>
      <c r="TP19" s="353"/>
      <c r="TQ19" s="353"/>
      <c r="TR19" s="353"/>
      <c r="TS19" s="353"/>
      <c r="TT19" s="353"/>
      <c r="TU19" s="353"/>
      <c r="TV19" s="353"/>
      <c r="TW19" s="353"/>
      <c r="TX19" s="353"/>
      <c r="TY19" s="353"/>
      <c r="TZ19" s="353"/>
      <c r="UA19" s="353"/>
      <c r="UB19" s="353"/>
      <c r="UC19" s="353"/>
      <c r="UD19" s="353"/>
      <c r="UE19" s="353"/>
      <c r="UF19" s="353"/>
      <c r="UG19" s="353"/>
      <c r="UH19" s="353"/>
      <c r="UI19" s="353"/>
      <c r="UJ19" s="353"/>
      <c r="UK19" s="353"/>
      <c r="UL19" s="353"/>
      <c r="UM19" s="353"/>
      <c r="UN19" s="353"/>
      <c r="UO19" s="353"/>
      <c r="UP19" s="353"/>
      <c r="UQ19" s="353"/>
      <c r="UR19" s="353"/>
      <c r="US19" s="353"/>
      <c r="UT19" s="353"/>
      <c r="UU19" s="353"/>
      <c r="UV19" s="353"/>
      <c r="UW19" s="353"/>
      <c r="UX19" s="353"/>
      <c r="UY19" s="353"/>
      <c r="UZ19" s="353"/>
      <c r="VA19" s="353"/>
      <c r="VB19" s="353"/>
      <c r="VC19" s="353"/>
      <c r="VD19" s="353"/>
      <c r="VE19" s="353"/>
      <c r="VF19" s="353"/>
      <c r="VG19" s="353"/>
      <c r="VH19" s="353"/>
      <c r="VI19" s="353"/>
      <c r="VJ19" s="353"/>
      <c r="VK19" s="353"/>
      <c r="VL19" s="353"/>
      <c r="VM19" s="353"/>
      <c r="VN19" s="353"/>
      <c r="VO19" s="353"/>
      <c r="VP19" s="353"/>
      <c r="VQ19" s="353"/>
      <c r="VR19" s="353"/>
      <c r="VS19" s="353"/>
      <c r="VT19" s="353"/>
      <c r="VU19" s="353"/>
      <c r="VV19" s="353"/>
      <c r="VW19" s="353"/>
      <c r="VX19" s="353"/>
      <c r="VY19" s="353"/>
      <c r="VZ19" s="353"/>
      <c r="WA19" s="353"/>
      <c r="WB19" s="353"/>
      <c r="WC19" s="353"/>
      <c r="WD19" s="353"/>
      <c r="WE19" s="353"/>
      <c r="WF19" s="353"/>
      <c r="WG19" s="353"/>
      <c r="WH19" s="353"/>
      <c r="WI19" s="353"/>
      <c r="WJ19" s="353"/>
      <c r="WK19" s="353"/>
      <c r="WL19" s="353"/>
      <c r="WM19" s="353"/>
      <c r="WN19" s="353"/>
      <c r="WO19" s="353"/>
      <c r="WP19" s="353"/>
      <c r="WQ19" s="353"/>
      <c r="WR19" s="353"/>
      <c r="WS19" s="353"/>
      <c r="WT19" s="353"/>
      <c r="WU19" s="353"/>
      <c r="WV19" s="353"/>
      <c r="WW19" s="353"/>
      <c r="WX19" s="353"/>
      <c r="WY19" s="353"/>
      <c r="WZ19" s="353"/>
      <c r="XA19" s="353"/>
      <c r="XB19" s="353"/>
      <c r="XC19" s="353"/>
      <c r="XD19" s="353"/>
      <c r="XE19" s="353"/>
      <c r="XF19" s="353"/>
      <c r="XG19" s="353"/>
      <c r="XH19" s="353"/>
      <c r="XI19" s="353"/>
      <c r="XJ19" s="353"/>
      <c r="XK19" s="353"/>
      <c r="XL19" s="353"/>
      <c r="XM19" s="353"/>
      <c r="XN19" s="353"/>
      <c r="XO19" s="353"/>
      <c r="XP19" s="353"/>
      <c r="XQ19" s="353"/>
      <c r="XR19" s="353"/>
      <c r="XS19" s="353"/>
      <c r="XT19" s="353"/>
      <c r="XU19" s="353"/>
      <c r="XV19" s="353"/>
      <c r="XW19" s="353"/>
      <c r="XX19" s="353"/>
      <c r="XY19" s="353"/>
      <c r="XZ19" s="353"/>
      <c r="YA19" s="353"/>
      <c r="YB19" s="353"/>
      <c r="YC19" s="353"/>
      <c r="YD19" s="353"/>
      <c r="YE19" s="353"/>
      <c r="YF19" s="353"/>
      <c r="YG19" s="353"/>
      <c r="YH19" s="353"/>
      <c r="YI19" s="353"/>
      <c r="YJ19" s="353"/>
      <c r="YK19" s="353"/>
      <c r="YL19" s="353"/>
      <c r="YM19" s="353"/>
      <c r="YN19" s="353"/>
      <c r="YO19" s="353"/>
      <c r="YP19" s="353"/>
      <c r="YQ19" s="353"/>
      <c r="YR19" s="353"/>
      <c r="YS19" s="353"/>
      <c r="YT19" s="353"/>
      <c r="YU19" s="353"/>
      <c r="YV19" s="353"/>
      <c r="YW19" s="353"/>
      <c r="YX19" s="353"/>
      <c r="YY19" s="353"/>
      <c r="YZ19" s="353"/>
      <c r="ZA19" s="353"/>
      <c r="ZB19" s="353"/>
      <c r="ZC19" s="353"/>
      <c r="ZD19" s="353"/>
      <c r="ZE19" s="353"/>
      <c r="ZF19" s="353"/>
      <c r="ZG19" s="353"/>
      <c r="ZH19" s="353"/>
      <c r="ZI19" s="353"/>
      <c r="ZJ19" s="353"/>
      <c r="ZK19" s="353"/>
      <c r="ZL19" s="353"/>
      <c r="ZM19" s="353"/>
      <c r="ZN19" s="353"/>
      <c r="ZO19" s="353"/>
      <c r="ZP19" s="353"/>
      <c r="ZQ19" s="353"/>
      <c r="ZR19" s="353"/>
      <c r="ZS19" s="353"/>
      <c r="ZT19" s="353"/>
      <c r="ZU19" s="353"/>
      <c r="ZV19" s="353"/>
      <c r="ZW19" s="353"/>
      <c r="ZX19" s="353"/>
      <c r="ZY19" s="353"/>
      <c r="ZZ19" s="353"/>
      <c r="AAA19" s="353"/>
      <c r="AAB19" s="353"/>
      <c r="AAC19" s="353"/>
      <c r="AAD19" s="353"/>
      <c r="AAE19" s="353"/>
      <c r="AAF19" s="353"/>
      <c r="AAG19" s="353"/>
      <c r="AAH19" s="353"/>
      <c r="AAI19" s="353"/>
      <c r="AAJ19" s="353"/>
      <c r="AAK19" s="353"/>
      <c r="AAL19" s="353"/>
      <c r="AAM19" s="353"/>
      <c r="AAN19" s="353"/>
      <c r="AAO19" s="353"/>
      <c r="AAP19" s="353"/>
      <c r="AAQ19" s="353"/>
      <c r="AAR19" s="353"/>
      <c r="AAS19" s="353"/>
      <c r="AAT19" s="353"/>
      <c r="AAU19" s="353"/>
      <c r="AAV19" s="353"/>
      <c r="AAW19" s="353"/>
      <c r="AAX19" s="353"/>
      <c r="AAY19" s="353"/>
      <c r="AAZ19" s="353"/>
      <c r="ABA19" s="353"/>
      <c r="ABB19" s="353"/>
      <c r="ABC19" s="353"/>
      <c r="ABD19" s="353"/>
      <c r="ABE19" s="353"/>
      <c r="ABF19" s="353"/>
      <c r="ABG19" s="353"/>
      <c r="ABH19" s="353"/>
      <c r="ABI19" s="353"/>
      <c r="ABJ19" s="353"/>
      <c r="ABK19" s="353"/>
      <c r="ABL19" s="353"/>
      <c r="ABM19" s="353"/>
      <c r="ABN19" s="353"/>
      <c r="ABO19" s="353"/>
      <c r="ABP19" s="353"/>
      <c r="ABQ19" s="353"/>
      <c r="ABR19" s="353"/>
      <c r="ABS19" s="353"/>
      <c r="ABT19" s="353"/>
      <c r="ABU19" s="353"/>
      <c r="ABV19" s="353"/>
      <c r="ABW19" s="353"/>
      <c r="ABX19" s="353"/>
      <c r="ABY19" s="353"/>
      <c r="ABZ19" s="353"/>
      <c r="ACA19" s="353"/>
      <c r="ACB19" s="353"/>
      <c r="ACC19" s="353"/>
      <c r="ACD19" s="353"/>
      <c r="ACE19" s="353"/>
      <c r="ACF19" s="353"/>
      <c r="ACG19" s="353"/>
      <c r="ACH19" s="353"/>
      <c r="ACI19" s="353"/>
      <c r="ACJ19" s="353"/>
      <c r="ACK19" s="353"/>
      <c r="ACL19" s="353"/>
      <c r="ACM19" s="353"/>
      <c r="ACN19" s="353"/>
      <c r="ACO19" s="353"/>
      <c r="ACP19" s="353"/>
      <c r="ACQ19" s="353"/>
      <c r="ACR19" s="353"/>
      <c r="ACS19" s="353"/>
      <c r="ACT19" s="353"/>
      <c r="ACU19" s="353"/>
      <c r="ACV19" s="353"/>
      <c r="ACW19" s="353"/>
      <c r="ACX19" s="353"/>
      <c r="ACY19" s="353"/>
      <c r="ACZ19" s="353"/>
      <c r="ADA19" s="353"/>
      <c r="ADB19" s="353"/>
      <c r="ADC19" s="353"/>
      <c r="ADD19" s="353"/>
      <c r="ADE19" s="353"/>
      <c r="ADF19" s="353"/>
      <c r="ADG19" s="353"/>
      <c r="ADH19" s="353"/>
      <c r="ADI19" s="353"/>
      <c r="ADJ19" s="353"/>
      <c r="ADK19" s="353"/>
      <c r="ADL19" s="353"/>
      <c r="ADM19" s="353"/>
      <c r="ADN19" s="353"/>
      <c r="ADO19" s="353"/>
      <c r="ADP19" s="353"/>
      <c r="ADQ19" s="353"/>
      <c r="ADR19" s="353"/>
      <c r="ADS19" s="353"/>
      <c r="ADT19" s="353"/>
      <c r="ADU19" s="353"/>
      <c r="ADV19" s="353"/>
      <c r="ADW19" s="353"/>
      <c r="ADX19" s="353"/>
      <c r="ADY19" s="353"/>
      <c r="ADZ19" s="353"/>
      <c r="AEA19" s="353"/>
      <c r="AEB19" s="353"/>
      <c r="AEC19" s="353"/>
      <c r="AED19" s="353"/>
      <c r="AEE19" s="353"/>
      <c r="AEF19" s="353"/>
      <c r="AEG19" s="353"/>
      <c r="AEH19" s="353"/>
      <c r="AEI19" s="353"/>
      <c r="AEJ19" s="353"/>
      <c r="AEK19" s="353"/>
      <c r="AEL19" s="353"/>
      <c r="AEM19" s="353"/>
      <c r="AEN19" s="353"/>
      <c r="AEO19" s="353"/>
      <c r="AEP19" s="353"/>
      <c r="AEQ19" s="353"/>
      <c r="AER19" s="353"/>
      <c r="AES19" s="353"/>
      <c r="AET19" s="353"/>
      <c r="AEU19" s="353"/>
      <c r="AEV19" s="353"/>
      <c r="AEW19" s="353"/>
      <c r="AEX19" s="353"/>
      <c r="AEY19" s="353"/>
      <c r="AEZ19" s="353"/>
      <c r="AFA19" s="353"/>
      <c r="AFB19" s="353"/>
      <c r="AFC19" s="353"/>
      <c r="AFD19" s="353"/>
      <c r="AFE19" s="353"/>
      <c r="AFF19" s="353"/>
      <c r="AFG19" s="353"/>
      <c r="AFH19" s="353"/>
      <c r="AFI19" s="353"/>
      <c r="AFJ19" s="353"/>
      <c r="AFK19" s="353"/>
      <c r="AFL19" s="353"/>
      <c r="AFM19" s="353"/>
      <c r="AFN19" s="353"/>
      <c r="AFO19" s="353"/>
      <c r="AFP19" s="353"/>
      <c r="AFQ19" s="353"/>
      <c r="AFR19" s="353"/>
      <c r="AFS19" s="353"/>
      <c r="AFT19" s="353"/>
      <c r="AFU19" s="353"/>
      <c r="AFV19" s="353"/>
      <c r="AFW19" s="353"/>
      <c r="AFX19" s="353"/>
      <c r="AFY19" s="353"/>
      <c r="AFZ19" s="353"/>
      <c r="AGA19" s="353"/>
      <c r="AGB19" s="353"/>
      <c r="AGC19" s="353"/>
      <c r="AGD19" s="353"/>
      <c r="AGE19" s="353"/>
      <c r="AGF19" s="353"/>
      <c r="AGG19" s="353"/>
      <c r="AGH19" s="353"/>
      <c r="AGI19" s="353"/>
      <c r="AGJ19" s="353"/>
      <c r="AGK19" s="353"/>
      <c r="AGL19" s="353"/>
      <c r="AGM19" s="353"/>
      <c r="AGN19" s="353"/>
      <c r="AGO19" s="353"/>
      <c r="AGP19" s="353"/>
      <c r="AGQ19" s="353"/>
      <c r="AGR19" s="353"/>
      <c r="AGS19" s="353"/>
      <c r="AGT19" s="353"/>
      <c r="AGU19" s="353"/>
      <c r="AGV19" s="353"/>
      <c r="AGW19" s="353"/>
      <c r="AGX19" s="353"/>
      <c r="AGY19" s="353"/>
      <c r="AGZ19" s="353"/>
      <c r="AHA19" s="353"/>
      <c r="AHB19" s="353"/>
      <c r="AHC19" s="353"/>
      <c r="AHD19" s="353"/>
      <c r="AHE19" s="353"/>
      <c r="AHF19" s="353"/>
      <c r="AHG19" s="353"/>
      <c r="AHH19" s="353"/>
      <c r="AHI19" s="353"/>
      <c r="AHJ19" s="353"/>
      <c r="AHK19" s="353"/>
      <c r="AHL19" s="353"/>
      <c r="AHM19" s="353"/>
      <c r="AHN19" s="353"/>
      <c r="AHO19" s="353"/>
      <c r="AHP19" s="353"/>
      <c r="AHQ19" s="353"/>
      <c r="AHR19" s="353"/>
      <c r="AHS19" s="353"/>
      <c r="AHT19" s="353"/>
      <c r="AHU19" s="353"/>
      <c r="AHV19" s="353"/>
      <c r="AHW19" s="353"/>
      <c r="AHX19" s="353"/>
      <c r="AHY19" s="353"/>
      <c r="AHZ19" s="353"/>
      <c r="AIA19" s="353"/>
      <c r="AIB19" s="353"/>
      <c r="AIC19" s="353"/>
      <c r="AID19" s="353"/>
      <c r="AIE19" s="353"/>
      <c r="AIF19" s="353"/>
      <c r="AIG19" s="353"/>
      <c r="AIH19" s="353"/>
      <c r="AII19" s="353"/>
      <c r="AIJ19" s="353"/>
      <c r="AIK19" s="353"/>
      <c r="AIL19" s="353"/>
      <c r="AIM19" s="353"/>
      <c r="AIN19" s="353"/>
      <c r="AIO19" s="353"/>
      <c r="AIP19" s="353"/>
      <c r="AIQ19" s="353"/>
      <c r="AIR19" s="353"/>
      <c r="AIS19" s="353"/>
      <c r="AIT19" s="353"/>
      <c r="AIU19" s="353"/>
      <c r="AIV19" s="353"/>
      <c r="AIW19" s="353"/>
      <c r="AIX19" s="353"/>
      <c r="AIY19" s="353"/>
      <c r="AIZ19" s="353"/>
      <c r="AJA19" s="353"/>
      <c r="AJB19" s="353"/>
      <c r="AJC19" s="353"/>
      <c r="AJD19" s="353"/>
      <c r="AJE19" s="353"/>
      <c r="AJF19" s="353"/>
      <c r="AJG19" s="353"/>
      <c r="AJH19" s="353"/>
      <c r="AJI19" s="353"/>
      <c r="AJJ19" s="353"/>
      <c r="AJK19" s="353"/>
      <c r="AJL19" s="353"/>
      <c r="AJM19" s="353"/>
      <c r="AJN19" s="353"/>
      <c r="AJO19" s="353"/>
      <c r="AJP19" s="353"/>
      <c r="AJQ19" s="353"/>
      <c r="AJR19" s="353"/>
      <c r="AJS19" s="353"/>
      <c r="AJT19" s="353"/>
      <c r="AJU19" s="353"/>
      <c r="AJV19" s="353"/>
      <c r="AJW19" s="353"/>
      <c r="AJX19" s="353"/>
      <c r="AJY19" s="353"/>
      <c r="AJZ19" s="353"/>
      <c r="AKA19" s="353"/>
      <c r="AKB19" s="353"/>
      <c r="AKC19" s="353"/>
      <c r="AKD19" s="353"/>
      <c r="AKE19" s="353"/>
      <c r="AKF19" s="353"/>
      <c r="AKG19" s="353"/>
      <c r="AKH19" s="353"/>
      <c r="AKI19" s="353"/>
      <c r="AKJ19" s="353"/>
      <c r="AKK19" s="353"/>
      <c r="AKL19" s="353"/>
      <c r="AKM19" s="353"/>
      <c r="AKN19" s="353"/>
      <c r="AKO19" s="353"/>
      <c r="AKP19" s="353"/>
      <c r="AKQ19" s="353"/>
      <c r="AKR19" s="353"/>
      <c r="AKS19" s="353"/>
      <c r="AKT19" s="353"/>
      <c r="AKU19" s="353"/>
      <c r="AKV19" s="353"/>
      <c r="AKW19" s="353"/>
      <c r="AKX19" s="353"/>
      <c r="AKY19" s="353"/>
      <c r="AKZ19" s="353"/>
      <c r="ALA19" s="353"/>
      <c r="ALB19" s="353"/>
      <c r="ALC19" s="353"/>
      <c r="ALD19" s="353"/>
      <c r="ALE19" s="353"/>
      <c r="ALF19" s="353"/>
      <c r="ALG19" s="353"/>
      <c r="ALH19" s="353"/>
      <c r="ALI19" s="353"/>
      <c r="ALJ19" s="353"/>
      <c r="ALK19" s="353"/>
      <c r="ALL19" s="353"/>
      <c r="ALM19" s="353"/>
      <c r="ALN19" s="353"/>
      <c r="ALO19" s="353"/>
      <c r="ALP19" s="353"/>
      <c r="ALQ19" s="353"/>
      <c r="ALR19" s="353"/>
      <c r="ALS19" s="353"/>
      <c r="ALT19" s="353"/>
      <c r="ALU19" s="353"/>
      <c r="ALV19" s="353"/>
      <c r="ALW19" s="353"/>
      <c r="ALX19" s="353"/>
      <c r="ALY19" s="353"/>
      <c r="ALZ19" s="353"/>
      <c r="AMA19" s="353"/>
      <c r="AMB19" s="353"/>
      <c r="AMC19" s="353"/>
      <c r="AMD19" s="353"/>
      <c r="AME19" s="353"/>
      <c r="AMF19" s="353"/>
      <c r="AMG19" s="353"/>
      <c r="AMH19" s="353"/>
      <c r="AMI19" s="353"/>
      <c r="AMJ19" s="353"/>
      <c r="AMK19" s="353"/>
      <c r="AML19" s="353"/>
      <c r="AMM19" s="353"/>
      <c r="AMN19" s="353"/>
      <c r="AMO19" s="353"/>
      <c r="AMP19" s="353"/>
    </row>
    <row r="20" spans="2:1030" s="354" customFormat="1" ht="12" customHeight="1" x14ac:dyDescent="0.2">
      <c r="B20" s="404">
        <f t="shared" si="13"/>
        <v>7</v>
      </c>
      <c r="C20" s="405" t="s">
        <v>295</v>
      </c>
      <c r="D20" s="406" t="s">
        <v>295</v>
      </c>
      <c r="E20" s="406" t="s">
        <v>296</v>
      </c>
      <c r="F20" s="407" t="s">
        <v>297</v>
      </c>
      <c r="G20" s="407" t="s">
        <v>298</v>
      </c>
      <c r="H20" s="408" t="s">
        <v>22</v>
      </c>
      <c r="I20" s="408" t="s">
        <v>21</v>
      </c>
      <c r="J20" s="408" t="s">
        <v>35</v>
      </c>
      <c r="K20" s="408" t="s">
        <v>35</v>
      </c>
      <c r="L20" s="408" t="s">
        <v>35</v>
      </c>
      <c r="M20" s="408" t="s">
        <v>37</v>
      </c>
      <c r="N20" s="409">
        <v>14141666.810000001</v>
      </c>
      <c r="O20" s="409">
        <v>0</v>
      </c>
      <c r="P20" s="409">
        <v>264827.33766952</v>
      </c>
      <c r="Q20" s="409">
        <f t="shared" si="4"/>
        <v>0</v>
      </c>
      <c r="R20" s="409">
        <f t="shared" si="5"/>
        <v>14141666.810000001</v>
      </c>
      <c r="S20" s="410">
        <f t="shared" si="6"/>
        <v>11537452.316250999</v>
      </c>
      <c r="T20" s="409">
        <f t="shared" si="7"/>
        <v>11537452.316250999</v>
      </c>
      <c r="U20" s="411">
        <f t="shared" si="8"/>
        <v>4053107</v>
      </c>
      <c r="V20" s="411">
        <f t="shared" si="9"/>
        <v>2604214.493749002</v>
      </c>
      <c r="W20" s="412">
        <v>0</v>
      </c>
      <c r="X20" s="412">
        <v>0</v>
      </c>
      <c r="Y20" s="411">
        <f t="shared" si="10"/>
        <v>11537452.32</v>
      </c>
      <c r="Z20" s="411">
        <f t="shared" si="10"/>
        <v>4053107</v>
      </c>
      <c r="AA20" s="411">
        <f t="shared" si="11"/>
        <v>11537452.32</v>
      </c>
      <c r="AB20" s="383"/>
      <c r="AC20" s="413"/>
      <c r="AD20" s="413" t="str">
        <f t="shared" si="12"/>
        <v/>
      </c>
      <c r="AE20" s="414" t="str">
        <f>IF($AD20="","",COUNTIFS($AD$14:AD20,"Yes"))</f>
        <v/>
      </c>
      <c r="AF20" s="413" t="b">
        <f>IF(C20="", "", AND(INDEX('Summary Dynamic'!$D$8:$D$10, MATCH(H20, 'Summary Dynamic'!$C$8:$C$10, 0))="Include", INDEX('Summary Dynamic'!$D$12:$D$14, MATCH(I20, 'Summary Dynamic'!$C$12:$C$14, 0))="Include", INDEX('Summary Dynamic'!$D$16:$D$17, MATCH(J20, 'Summary Dynamic'!$C$16:$C$17, 0))="Include", INDEX('Summary Dynamic'!$D$19:$D$20, MATCH(K20, 'Summary Dynamic'!$C$19:$C$20, 0))="Include", INDEX('Summary Dynamic'!$D$22:$D$23, MATCH(L20, 'Summary Dynamic'!$C$22:$C$23, 0))="Include", INDEX('Summary Dynamic'!$D$25:$D$26, MATCH(M20, 'Summary Dynamic'!$C$25:$C$26, 0))="Include"))</f>
        <v>1</v>
      </c>
      <c r="AG20" s="414">
        <f>IFERROR(IF(C20="", "", IF(AF20=TRUE, COUNTIFS($AF$14:AF20, TRUE), "n/a")), "n/a")</f>
        <v>7</v>
      </c>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3"/>
      <c r="DD20" s="353"/>
      <c r="DE20" s="353"/>
      <c r="DF20" s="353"/>
      <c r="DG20" s="353"/>
      <c r="DH20" s="353"/>
      <c r="DI20" s="353"/>
      <c r="DJ20" s="353"/>
      <c r="DK20" s="353"/>
      <c r="DL20" s="353"/>
      <c r="DM20" s="353"/>
      <c r="DN20" s="353"/>
      <c r="DO20" s="353"/>
      <c r="DP20" s="353"/>
      <c r="DQ20" s="353"/>
      <c r="DR20" s="353"/>
      <c r="DS20" s="353"/>
      <c r="DT20" s="353"/>
      <c r="DU20" s="353"/>
      <c r="DV20" s="353"/>
      <c r="DW20" s="353"/>
      <c r="DX20" s="353"/>
      <c r="DY20" s="353"/>
      <c r="DZ20" s="353"/>
      <c r="EA20" s="353"/>
      <c r="EB20" s="353"/>
      <c r="EC20" s="353"/>
      <c r="ED20" s="353"/>
      <c r="EE20" s="353"/>
      <c r="EF20" s="353"/>
      <c r="EG20" s="353"/>
      <c r="EH20" s="353"/>
      <c r="EI20" s="353"/>
      <c r="EJ20" s="353"/>
      <c r="EK20" s="353"/>
      <c r="EL20" s="353"/>
      <c r="EM20" s="353"/>
      <c r="EN20" s="353"/>
      <c r="EO20" s="353"/>
      <c r="EP20" s="353"/>
      <c r="EQ20" s="353"/>
      <c r="ER20" s="353"/>
      <c r="ES20" s="353"/>
      <c r="ET20" s="353"/>
      <c r="EU20" s="353"/>
      <c r="EV20" s="353"/>
      <c r="EW20" s="353"/>
      <c r="EX20" s="353"/>
      <c r="EY20" s="353"/>
      <c r="EZ20" s="353"/>
      <c r="FA20" s="353"/>
      <c r="FB20" s="353"/>
      <c r="FC20" s="353"/>
      <c r="FD20" s="353"/>
      <c r="FE20" s="353"/>
      <c r="FF20" s="353"/>
      <c r="FG20" s="353"/>
      <c r="FH20" s="353"/>
      <c r="FI20" s="353"/>
      <c r="FJ20" s="353"/>
      <c r="FK20" s="353"/>
      <c r="FL20" s="353"/>
      <c r="FM20" s="353"/>
      <c r="FN20" s="353"/>
      <c r="FO20" s="353"/>
      <c r="FP20" s="353"/>
      <c r="FQ20" s="353"/>
      <c r="FR20" s="353"/>
      <c r="FS20" s="353"/>
      <c r="FT20" s="353"/>
      <c r="FU20" s="353"/>
      <c r="FV20" s="353"/>
      <c r="FW20" s="353"/>
      <c r="FX20" s="353"/>
      <c r="FY20" s="353"/>
      <c r="FZ20" s="353"/>
      <c r="GA20" s="353"/>
      <c r="GB20" s="353"/>
      <c r="GC20" s="353"/>
      <c r="GD20" s="353"/>
      <c r="GE20" s="353"/>
      <c r="GF20" s="353"/>
      <c r="GG20" s="353"/>
      <c r="GH20" s="353"/>
      <c r="GI20" s="353"/>
      <c r="GJ20" s="353"/>
      <c r="GK20" s="353"/>
      <c r="GL20" s="353"/>
      <c r="GM20" s="353"/>
      <c r="GN20" s="353"/>
      <c r="GO20" s="353"/>
      <c r="GP20" s="353"/>
      <c r="GQ20" s="353"/>
      <c r="GR20" s="353"/>
      <c r="GS20" s="353"/>
      <c r="GT20" s="353"/>
      <c r="GU20" s="353"/>
      <c r="GV20" s="353"/>
      <c r="GW20" s="353"/>
      <c r="GX20" s="353"/>
      <c r="GY20" s="353"/>
      <c r="GZ20" s="353"/>
      <c r="HA20" s="353"/>
      <c r="HB20" s="353"/>
      <c r="HC20" s="353"/>
      <c r="HD20" s="353"/>
      <c r="HE20" s="353"/>
      <c r="HF20" s="353"/>
      <c r="HG20" s="353"/>
      <c r="HH20" s="353"/>
      <c r="HI20" s="353"/>
      <c r="HJ20" s="353"/>
      <c r="HK20" s="353"/>
      <c r="HL20" s="353"/>
      <c r="HM20" s="353"/>
      <c r="HN20" s="353"/>
      <c r="HO20" s="353"/>
      <c r="HP20" s="353"/>
      <c r="HQ20" s="353"/>
      <c r="HR20" s="353"/>
      <c r="HS20" s="353"/>
      <c r="HT20" s="353"/>
      <c r="HU20" s="353"/>
      <c r="HV20" s="353"/>
      <c r="HW20" s="353"/>
      <c r="HX20" s="353"/>
      <c r="HY20" s="353"/>
      <c r="HZ20" s="353"/>
      <c r="IA20" s="353"/>
      <c r="IB20" s="353"/>
      <c r="IC20" s="353"/>
      <c r="ID20" s="353"/>
      <c r="IE20" s="353"/>
      <c r="IF20" s="353"/>
      <c r="IG20" s="353"/>
      <c r="IH20" s="353"/>
      <c r="II20" s="353"/>
      <c r="IJ20" s="353"/>
      <c r="IK20" s="353"/>
      <c r="IL20" s="353"/>
      <c r="IM20" s="353"/>
      <c r="IN20" s="353"/>
      <c r="IO20" s="353"/>
      <c r="IP20" s="353"/>
      <c r="IQ20" s="353"/>
      <c r="IR20" s="353"/>
      <c r="IS20" s="353"/>
      <c r="IT20" s="353"/>
      <c r="IU20" s="353"/>
      <c r="IV20" s="353"/>
      <c r="IW20" s="353"/>
      <c r="IX20" s="353"/>
      <c r="IY20" s="353"/>
      <c r="IZ20" s="353"/>
      <c r="JA20" s="353"/>
      <c r="JB20" s="353"/>
      <c r="JC20" s="353"/>
      <c r="JD20" s="353"/>
      <c r="JE20" s="353"/>
      <c r="JF20" s="353"/>
      <c r="JG20" s="353"/>
      <c r="JH20" s="353"/>
      <c r="JI20" s="353"/>
      <c r="JJ20" s="353"/>
      <c r="JK20" s="353"/>
      <c r="JL20" s="353"/>
      <c r="JM20" s="353"/>
      <c r="JN20" s="353"/>
      <c r="JO20" s="353"/>
      <c r="JP20" s="353"/>
      <c r="JQ20" s="353"/>
      <c r="JR20" s="353"/>
      <c r="JS20" s="353"/>
      <c r="JT20" s="353"/>
      <c r="JU20" s="353"/>
      <c r="JV20" s="353"/>
      <c r="JW20" s="353"/>
      <c r="JX20" s="353"/>
      <c r="JY20" s="353"/>
      <c r="JZ20" s="353"/>
      <c r="KA20" s="353"/>
      <c r="KB20" s="353"/>
      <c r="KC20" s="353"/>
      <c r="KD20" s="353"/>
      <c r="KE20" s="353"/>
      <c r="KF20" s="353"/>
      <c r="KG20" s="353"/>
      <c r="KH20" s="353"/>
      <c r="KI20" s="353"/>
      <c r="KJ20" s="353"/>
      <c r="KK20" s="353"/>
      <c r="KL20" s="353"/>
      <c r="KM20" s="353"/>
      <c r="KN20" s="353"/>
      <c r="KO20" s="353"/>
      <c r="KP20" s="353"/>
      <c r="KQ20" s="353"/>
      <c r="KR20" s="353"/>
      <c r="KS20" s="353"/>
      <c r="KT20" s="353"/>
      <c r="KU20" s="353"/>
      <c r="KV20" s="353"/>
      <c r="KW20" s="353"/>
      <c r="KX20" s="353"/>
      <c r="KY20" s="353"/>
      <c r="KZ20" s="353"/>
      <c r="LA20" s="353"/>
      <c r="LB20" s="353"/>
      <c r="LC20" s="353"/>
      <c r="LD20" s="353"/>
      <c r="LE20" s="353"/>
      <c r="LF20" s="353"/>
      <c r="LG20" s="353"/>
      <c r="LH20" s="353"/>
      <c r="LI20" s="353"/>
      <c r="LJ20" s="353"/>
      <c r="LK20" s="353"/>
      <c r="LL20" s="353"/>
      <c r="LM20" s="353"/>
      <c r="LN20" s="353"/>
      <c r="LO20" s="353"/>
      <c r="LP20" s="353"/>
      <c r="LQ20" s="353"/>
      <c r="LR20" s="353"/>
      <c r="LS20" s="353"/>
      <c r="LT20" s="353"/>
      <c r="LU20" s="353"/>
      <c r="LV20" s="353"/>
      <c r="LW20" s="353"/>
      <c r="LX20" s="353"/>
      <c r="LY20" s="353"/>
      <c r="LZ20" s="353"/>
      <c r="MA20" s="353"/>
      <c r="MB20" s="353"/>
      <c r="MC20" s="353"/>
      <c r="MD20" s="353"/>
      <c r="ME20" s="353"/>
      <c r="MF20" s="353"/>
      <c r="MG20" s="353"/>
      <c r="MH20" s="353"/>
      <c r="MI20" s="353"/>
      <c r="MJ20" s="353"/>
      <c r="MK20" s="353"/>
      <c r="ML20" s="353"/>
      <c r="MM20" s="353"/>
      <c r="MN20" s="353"/>
      <c r="MO20" s="353"/>
      <c r="MP20" s="353"/>
      <c r="MQ20" s="353"/>
      <c r="MR20" s="353"/>
      <c r="MS20" s="353"/>
      <c r="MT20" s="353"/>
      <c r="MU20" s="353"/>
      <c r="MV20" s="353"/>
      <c r="MW20" s="353"/>
      <c r="MX20" s="353"/>
      <c r="MY20" s="353"/>
      <c r="MZ20" s="353"/>
      <c r="NA20" s="353"/>
      <c r="NB20" s="353"/>
      <c r="NC20" s="353"/>
      <c r="ND20" s="353"/>
      <c r="NE20" s="353"/>
      <c r="NF20" s="353"/>
      <c r="NG20" s="353"/>
      <c r="NH20" s="353"/>
      <c r="NI20" s="353"/>
      <c r="NJ20" s="353"/>
      <c r="NK20" s="353"/>
      <c r="NL20" s="353"/>
      <c r="NM20" s="353"/>
      <c r="NN20" s="353"/>
      <c r="NO20" s="353"/>
      <c r="NP20" s="353"/>
      <c r="NQ20" s="353"/>
      <c r="NR20" s="353"/>
      <c r="NS20" s="353"/>
      <c r="NT20" s="353"/>
      <c r="NU20" s="353"/>
      <c r="NV20" s="353"/>
      <c r="NW20" s="353"/>
      <c r="NX20" s="353"/>
      <c r="NY20" s="353"/>
      <c r="NZ20" s="353"/>
      <c r="OA20" s="353"/>
      <c r="OB20" s="353"/>
      <c r="OC20" s="353"/>
      <c r="OD20" s="353"/>
      <c r="OE20" s="353"/>
      <c r="OF20" s="353"/>
      <c r="OG20" s="353"/>
      <c r="OH20" s="353"/>
      <c r="OI20" s="353"/>
      <c r="OJ20" s="353"/>
      <c r="OK20" s="353"/>
      <c r="OL20" s="353"/>
      <c r="OM20" s="353"/>
      <c r="ON20" s="353"/>
      <c r="OO20" s="353"/>
      <c r="OP20" s="353"/>
      <c r="OQ20" s="353"/>
      <c r="OR20" s="353"/>
      <c r="OS20" s="353"/>
      <c r="OT20" s="353"/>
      <c r="OU20" s="353"/>
      <c r="OV20" s="353"/>
      <c r="OW20" s="353"/>
      <c r="OX20" s="353"/>
      <c r="OY20" s="353"/>
      <c r="OZ20" s="353"/>
      <c r="PA20" s="353"/>
      <c r="PB20" s="353"/>
      <c r="PC20" s="353"/>
      <c r="PD20" s="353"/>
      <c r="PE20" s="353"/>
      <c r="PF20" s="353"/>
      <c r="PG20" s="353"/>
      <c r="PH20" s="353"/>
      <c r="PI20" s="353"/>
      <c r="PJ20" s="353"/>
      <c r="PK20" s="353"/>
      <c r="PL20" s="353"/>
      <c r="PM20" s="353"/>
      <c r="PN20" s="353"/>
      <c r="PO20" s="353"/>
      <c r="PP20" s="353"/>
      <c r="PQ20" s="353"/>
      <c r="PR20" s="353"/>
      <c r="PS20" s="353"/>
      <c r="PT20" s="353"/>
      <c r="PU20" s="353"/>
      <c r="PV20" s="353"/>
      <c r="PW20" s="353"/>
      <c r="PX20" s="353"/>
      <c r="PY20" s="353"/>
      <c r="PZ20" s="353"/>
      <c r="QA20" s="353"/>
      <c r="QB20" s="353"/>
      <c r="QC20" s="353"/>
      <c r="QD20" s="353"/>
      <c r="QE20" s="353"/>
      <c r="QF20" s="353"/>
      <c r="QG20" s="353"/>
      <c r="QH20" s="353"/>
      <c r="QI20" s="353"/>
      <c r="QJ20" s="353"/>
      <c r="QK20" s="353"/>
      <c r="QL20" s="353"/>
      <c r="QM20" s="353"/>
      <c r="QN20" s="353"/>
      <c r="QO20" s="353"/>
      <c r="QP20" s="353"/>
      <c r="QQ20" s="353"/>
      <c r="QR20" s="353"/>
      <c r="QS20" s="353"/>
      <c r="QT20" s="353"/>
      <c r="QU20" s="353"/>
      <c r="QV20" s="353"/>
      <c r="QW20" s="353"/>
      <c r="QX20" s="353"/>
      <c r="QY20" s="353"/>
      <c r="QZ20" s="353"/>
      <c r="RA20" s="353"/>
      <c r="RB20" s="353"/>
      <c r="RC20" s="353"/>
      <c r="RD20" s="353"/>
      <c r="RE20" s="353"/>
      <c r="RF20" s="353"/>
      <c r="RG20" s="353"/>
      <c r="RH20" s="353"/>
      <c r="RI20" s="353"/>
      <c r="RJ20" s="353"/>
      <c r="RK20" s="353"/>
      <c r="RL20" s="353"/>
      <c r="RM20" s="353"/>
      <c r="RN20" s="353"/>
      <c r="RO20" s="353"/>
      <c r="RP20" s="353"/>
      <c r="RQ20" s="353"/>
      <c r="RR20" s="353"/>
      <c r="RS20" s="353"/>
      <c r="RT20" s="353"/>
      <c r="RU20" s="353"/>
      <c r="RV20" s="353"/>
      <c r="RW20" s="353"/>
      <c r="RX20" s="353"/>
      <c r="RY20" s="353"/>
      <c r="RZ20" s="353"/>
      <c r="SA20" s="353"/>
      <c r="SB20" s="353"/>
      <c r="SC20" s="353"/>
      <c r="SD20" s="353"/>
      <c r="SE20" s="353"/>
      <c r="SF20" s="353"/>
      <c r="SG20" s="353"/>
      <c r="SH20" s="353"/>
      <c r="SI20" s="353"/>
      <c r="SJ20" s="353"/>
      <c r="SK20" s="353"/>
      <c r="SL20" s="353"/>
      <c r="SM20" s="353"/>
      <c r="SN20" s="353"/>
      <c r="SO20" s="353"/>
      <c r="SP20" s="353"/>
      <c r="SQ20" s="353"/>
      <c r="SR20" s="353"/>
      <c r="SS20" s="353"/>
      <c r="ST20" s="353"/>
      <c r="SU20" s="353"/>
      <c r="SV20" s="353"/>
      <c r="SW20" s="353"/>
      <c r="SX20" s="353"/>
      <c r="SY20" s="353"/>
      <c r="SZ20" s="353"/>
      <c r="TA20" s="353"/>
      <c r="TB20" s="353"/>
      <c r="TC20" s="353"/>
      <c r="TD20" s="353"/>
      <c r="TE20" s="353"/>
      <c r="TF20" s="353"/>
      <c r="TG20" s="353"/>
      <c r="TH20" s="353"/>
      <c r="TI20" s="353"/>
      <c r="TJ20" s="353"/>
      <c r="TK20" s="353"/>
      <c r="TL20" s="353"/>
      <c r="TM20" s="353"/>
      <c r="TN20" s="353"/>
      <c r="TO20" s="353"/>
      <c r="TP20" s="353"/>
      <c r="TQ20" s="353"/>
      <c r="TR20" s="353"/>
      <c r="TS20" s="353"/>
      <c r="TT20" s="353"/>
      <c r="TU20" s="353"/>
      <c r="TV20" s="353"/>
      <c r="TW20" s="353"/>
      <c r="TX20" s="353"/>
      <c r="TY20" s="353"/>
      <c r="TZ20" s="353"/>
      <c r="UA20" s="353"/>
      <c r="UB20" s="353"/>
      <c r="UC20" s="353"/>
      <c r="UD20" s="353"/>
      <c r="UE20" s="353"/>
      <c r="UF20" s="353"/>
      <c r="UG20" s="353"/>
      <c r="UH20" s="353"/>
      <c r="UI20" s="353"/>
      <c r="UJ20" s="353"/>
      <c r="UK20" s="353"/>
      <c r="UL20" s="353"/>
      <c r="UM20" s="353"/>
      <c r="UN20" s="353"/>
      <c r="UO20" s="353"/>
      <c r="UP20" s="353"/>
      <c r="UQ20" s="353"/>
      <c r="UR20" s="353"/>
      <c r="US20" s="353"/>
      <c r="UT20" s="353"/>
      <c r="UU20" s="353"/>
      <c r="UV20" s="353"/>
      <c r="UW20" s="353"/>
      <c r="UX20" s="353"/>
      <c r="UY20" s="353"/>
      <c r="UZ20" s="353"/>
      <c r="VA20" s="353"/>
      <c r="VB20" s="353"/>
      <c r="VC20" s="353"/>
      <c r="VD20" s="353"/>
      <c r="VE20" s="353"/>
      <c r="VF20" s="353"/>
      <c r="VG20" s="353"/>
      <c r="VH20" s="353"/>
      <c r="VI20" s="353"/>
      <c r="VJ20" s="353"/>
      <c r="VK20" s="353"/>
      <c r="VL20" s="353"/>
      <c r="VM20" s="353"/>
      <c r="VN20" s="353"/>
      <c r="VO20" s="353"/>
      <c r="VP20" s="353"/>
      <c r="VQ20" s="353"/>
      <c r="VR20" s="353"/>
      <c r="VS20" s="353"/>
      <c r="VT20" s="353"/>
      <c r="VU20" s="353"/>
      <c r="VV20" s="353"/>
      <c r="VW20" s="353"/>
      <c r="VX20" s="353"/>
      <c r="VY20" s="353"/>
      <c r="VZ20" s="353"/>
      <c r="WA20" s="353"/>
      <c r="WB20" s="353"/>
      <c r="WC20" s="353"/>
      <c r="WD20" s="353"/>
      <c r="WE20" s="353"/>
      <c r="WF20" s="353"/>
      <c r="WG20" s="353"/>
      <c r="WH20" s="353"/>
      <c r="WI20" s="353"/>
      <c r="WJ20" s="353"/>
      <c r="WK20" s="353"/>
      <c r="WL20" s="353"/>
      <c r="WM20" s="353"/>
      <c r="WN20" s="353"/>
      <c r="WO20" s="353"/>
      <c r="WP20" s="353"/>
      <c r="WQ20" s="353"/>
      <c r="WR20" s="353"/>
      <c r="WS20" s="353"/>
      <c r="WT20" s="353"/>
      <c r="WU20" s="353"/>
      <c r="WV20" s="353"/>
      <c r="WW20" s="353"/>
      <c r="WX20" s="353"/>
      <c r="WY20" s="353"/>
      <c r="WZ20" s="353"/>
      <c r="XA20" s="353"/>
      <c r="XB20" s="353"/>
      <c r="XC20" s="353"/>
      <c r="XD20" s="353"/>
      <c r="XE20" s="353"/>
      <c r="XF20" s="353"/>
      <c r="XG20" s="353"/>
      <c r="XH20" s="353"/>
      <c r="XI20" s="353"/>
      <c r="XJ20" s="353"/>
      <c r="XK20" s="353"/>
      <c r="XL20" s="353"/>
      <c r="XM20" s="353"/>
      <c r="XN20" s="353"/>
      <c r="XO20" s="353"/>
      <c r="XP20" s="353"/>
      <c r="XQ20" s="353"/>
      <c r="XR20" s="353"/>
      <c r="XS20" s="353"/>
      <c r="XT20" s="353"/>
      <c r="XU20" s="353"/>
      <c r="XV20" s="353"/>
      <c r="XW20" s="353"/>
      <c r="XX20" s="353"/>
      <c r="XY20" s="353"/>
      <c r="XZ20" s="353"/>
      <c r="YA20" s="353"/>
      <c r="YB20" s="353"/>
      <c r="YC20" s="353"/>
      <c r="YD20" s="353"/>
      <c r="YE20" s="353"/>
      <c r="YF20" s="353"/>
      <c r="YG20" s="353"/>
      <c r="YH20" s="353"/>
      <c r="YI20" s="353"/>
      <c r="YJ20" s="353"/>
      <c r="YK20" s="353"/>
      <c r="YL20" s="353"/>
      <c r="YM20" s="353"/>
      <c r="YN20" s="353"/>
      <c r="YO20" s="353"/>
      <c r="YP20" s="353"/>
      <c r="YQ20" s="353"/>
      <c r="YR20" s="353"/>
      <c r="YS20" s="353"/>
      <c r="YT20" s="353"/>
      <c r="YU20" s="353"/>
      <c r="YV20" s="353"/>
      <c r="YW20" s="353"/>
      <c r="YX20" s="353"/>
      <c r="YY20" s="353"/>
      <c r="YZ20" s="353"/>
      <c r="ZA20" s="353"/>
      <c r="ZB20" s="353"/>
      <c r="ZC20" s="353"/>
      <c r="ZD20" s="353"/>
      <c r="ZE20" s="353"/>
      <c r="ZF20" s="353"/>
      <c r="ZG20" s="353"/>
      <c r="ZH20" s="353"/>
      <c r="ZI20" s="353"/>
      <c r="ZJ20" s="353"/>
      <c r="ZK20" s="353"/>
      <c r="ZL20" s="353"/>
      <c r="ZM20" s="353"/>
      <c r="ZN20" s="353"/>
      <c r="ZO20" s="353"/>
      <c r="ZP20" s="353"/>
      <c r="ZQ20" s="353"/>
      <c r="ZR20" s="353"/>
      <c r="ZS20" s="353"/>
      <c r="ZT20" s="353"/>
      <c r="ZU20" s="353"/>
      <c r="ZV20" s="353"/>
      <c r="ZW20" s="353"/>
      <c r="ZX20" s="353"/>
      <c r="ZY20" s="353"/>
      <c r="ZZ20" s="353"/>
      <c r="AAA20" s="353"/>
      <c r="AAB20" s="353"/>
      <c r="AAC20" s="353"/>
      <c r="AAD20" s="353"/>
      <c r="AAE20" s="353"/>
      <c r="AAF20" s="353"/>
      <c r="AAG20" s="353"/>
      <c r="AAH20" s="353"/>
      <c r="AAI20" s="353"/>
      <c r="AAJ20" s="353"/>
      <c r="AAK20" s="353"/>
      <c r="AAL20" s="353"/>
      <c r="AAM20" s="353"/>
      <c r="AAN20" s="353"/>
      <c r="AAO20" s="353"/>
      <c r="AAP20" s="353"/>
      <c r="AAQ20" s="353"/>
      <c r="AAR20" s="353"/>
      <c r="AAS20" s="353"/>
      <c r="AAT20" s="353"/>
      <c r="AAU20" s="353"/>
      <c r="AAV20" s="353"/>
      <c r="AAW20" s="353"/>
      <c r="AAX20" s="353"/>
      <c r="AAY20" s="353"/>
      <c r="AAZ20" s="353"/>
      <c r="ABA20" s="353"/>
      <c r="ABB20" s="353"/>
      <c r="ABC20" s="353"/>
      <c r="ABD20" s="353"/>
      <c r="ABE20" s="353"/>
      <c r="ABF20" s="353"/>
      <c r="ABG20" s="353"/>
      <c r="ABH20" s="353"/>
      <c r="ABI20" s="353"/>
      <c r="ABJ20" s="353"/>
      <c r="ABK20" s="353"/>
      <c r="ABL20" s="353"/>
      <c r="ABM20" s="353"/>
      <c r="ABN20" s="353"/>
      <c r="ABO20" s="353"/>
      <c r="ABP20" s="353"/>
      <c r="ABQ20" s="353"/>
      <c r="ABR20" s="353"/>
      <c r="ABS20" s="353"/>
      <c r="ABT20" s="353"/>
      <c r="ABU20" s="353"/>
      <c r="ABV20" s="353"/>
      <c r="ABW20" s="353"/>
      <c r="ABX20" s="353"/>
      <c r="ABY20" s="353"/>
      <c r="ABZ20" s="353"/>
      <c r="ACA20" s="353"/>
      <c r="ACB20" s="353"/>
      <c r="ACC20" s="353"/>
      <c r="ACD20" s="353"/>
      <c r="ACE20" s="353"/>
      <c r="ACF20" s="353"/>
      <c r="ACG20" s="353"/>
      <c r="ACH20" s="353"/>
      <c r="ACI20" s="353"/>
      <c r="ACJ20" s="353"/>
      <c r="ACK20" s="353"/>
      <c r="ACL20" s="353"/>
      <c r="ACM20" s="353"/>
      <c r="ACN20" s="353"/>
      <c r="ACO20" s="353"/>
      <c r="ACP20" s="353"/>
      <c r="ACQ20" s="353"/>
      <c r="ACR20" s="353"/>
      <c r="ACS20" s="353"/>
      <c r="ACT20" s="353"/>
      <c r="ACU20" s="353"/>
      <c r="ACV20" s="353"/>
      <c r="ACW20" s="353"/>
      <c r="ACX20" s="353"/>
      <c r="ACY20" s="353"/>
      <c r="ACZ20" s="353"/>
      <c r="ADA20" s="353"/>
      <c r="ADB20" s="353"/>
      <c r="ADC20" s="353"/>
      <c r="ADD20" s="353"/>
      <c r="ADE20" s="353"/>
      <c r="ADF20" s="353"/>
      <c r="ADG20" s="353"/>
      <c r="ADH20" s="353"/>
      <c r="ADI20" s="353"/>
      <c r="ADJ20" s="353"/>
      <c r="ADK20" s="353"/>
      <c r="ADL20" s="353"/>
      <c r="ADM20" s="353"/>
      <c r="ADN20" s="353"/>
      <c r="ADO20" s="353"/>
      <c r="ADP20" s="353"/>
      <c r="ADQ20" s="353"/>
      <c r="ADR20" s="353"/>
      <c r="ADS20" s="353"/>
      <c r="ADT20" s="353"/>
      <c r="ADU20" s="353"/>
      <c r="ADV20" s="353"/>
      <c r="ADW20" s="353"/>
      <c r="ADX20" s="353"/>
      <c r="ADY20" s="353"/>
      <c r="ADZ20" s="353"/>
      <c r="AEA20" s="353"/>
      <c r="AEB20" s="353"/>
      <c r="AEC20" s="353"/>
      <c r="AED20" s="353"/>
      <c r="AEE20" s="353"/>
      <c r="AEF20" s="353"/>
      <c r="AEG20" s="353"/>
      <c r="AEH20" s="353"/>
      <c r="AEI20" s="353"/>
      <c r="AEJ20" s="353"/>
      <c r="AEK20" s="353"/>
      <c r="AEL20" s="353"/>
      <c r="AEM20" s="353"/>
      <c r="AEN20" s="353"/>
      <c r="AEO20" s="353"/>
      <c r="AEP20" s="353"/>
      <c r="AEQ20" s="353"/>
      <c r="AER20" s="353"/>
      <c r="AES20" s="353"/>
      <c r="AET20" s="353"/>
      <c r="AEU20" s="353"/>
      <c r="AEV20" s="353"/>
      <c r="AEW20" s="353"/>
      <c r="AEX20" s="353"/>
      <c r="AEY20" s="353"/>
      <c r="AEZ20" s="353"/>
      <c r="AFA20" s="353"/>
      <c r="AFB20" s="353"/>
      <c r="AFC20" s="353"/>
      <c r="AFD20" s="353"/>
      <c r="AFE20" s="353"/>
      <c r="AFF20" s="353"/>
      <c r="AFG20" s="353"/>
      <c r="AFH20" s="353"/>
      <c r="AFI20" s="353"/>
      <c r="AFJ20" s="353"/>
      <c r="AFK20" s="353"/>
      <c r="AFL20" s="353"/>
      <c r="AFM20" s="353"/>
      <c r="AFN20" s="353"/>
      <c r="AFO20" s="353"/>
      <c r="AFP20" s="353"/>
      <c r="AFQ20" s="353"/>
      <c r="AFR20" s="353"/>
      <c r="AFS20" s="353"/>
      <c r="AFT20" s="353"/>
      <c r="AFU20" s="353"/>
      <c r="AFV20" s="353"/>
      <c r="AFW20" s="353"/>
      <c r="AFX20" s="353"/>
      <c r="AFY20" s="353"/>
      <c r="AFZ20" s="353"/>
      <c r="AGA20" s="353"/>
      <c r="AGB20" s="353"/>
      <c r="AGC20" s="353"/>
      <c r="AGD20" s="353"/>
      <c r="AGE20" s="353"/>
      <c r="AGF20" s="353"/>
      <c r="AGG20" s="353"/>
      <c r="AGH20" s="353"/>
      <c r="AGI20" s="353"/>
      <c r="AGJ20" s="353"/>
      <c r="AGK20" s="353"/>
      <c r="AGL20" s="353"/>
      <c r="AGM20" s="353"/>
      <c r="AGN20" s="353"/>
      <c r="AGO20" s="353"/>
      <c r="AGP20" s="353"/>
      <c r="AGQ20" s="353"/>
      <c r="AGR20" s="353"/>
      <c r="AGS20" s="353"/>
      <c r="AGT20" s="353"/>
      <c r="AGU20" s="353"/>
      <c r="AGV20" s="353"/>
      <c r="AGW20" s="353"/>
      <c r="AGX20" s="353"/>
      <c r="AGY20" s="353"/>
      <c r="AGZ20" s="353"/>
      <c r="AHA20" s="353"/>
      <c r="AHB20" s="353"/>
      <c r="AHC20" s="353"/>
      <c r="AHD20" s="353"/>
      <c r="AHE20" s="353"/>
      <c r="AHF20" s="353"/>
      <c r="AHG20" s="353"/>
      <c r="AHH20" s="353"/>
      <c r="AHI20" s="353"/>
      <c r="AHJ20" s="353"/>
      <c r="AHK20" s="353"/>
      <c r="AHL20" s="353"/>
      <c r="AHM20" s="353"/>
      <c r="AHN20" s="353"/>
      <c r="AHO20" s="353"/>
      <c r="AHP20" s="353"/>
      <c r="AHQ20" s="353"/>
      <c r="AHR20" s="353"/>
      <c r="AHS20" s="353"/>
      <c r="AHT20" s="353"/>
      <c r="AHU20" s="353"/>
      <c r="AHV20" s="353"/>
      <c r="AHW20" s="353"/>
      <c r="AHX20" s="353"/>
      <c r="AHY20" s="353"/>
      <c r="AHZ20" s="353"/>
      <c r="AIA20" s="353"/>
      <c r="AIB20" s="353"/>
      <c r="AIC20" s="353"/>
      <c r="AID20" s="353"/>
      <c r="AIE20" s="353"/>
      <c r="AIF20" s="353"/>
      <c r="AIG20" s="353"/>
      <c r="AIH20" s="353"/>
      <c r="AII20" s="353"/>
      <c r="AIJ20" s="353"/>
      <c r="AIK20" s="353"/>
      <c r="AIL20" s="353"/>
      <c r="AIM20" s="353"/>
      <c r="AIN20" s="353"/>
      <c r="AIO20" s="353"/>
      <c r="AIP20" s="353"/>
      <c r="AIQ20" s="353"/>
      <c r="AIR20" s="353"/>
      <c r="AIS20" s="353"/>
      <c r="AIT20" s="353"/>
      <c r="AIU20" s="353"/>
      <c r="AIV20" s="353"/>
      <c r="AIW20" s="353"/>
      <c r="AIX20" s="353"/>
      <c r="AIY20" s="353"/>
      <c r="AIZ20" s="353"/>
      <c r="AJA20" s="353"/>
      <c r="AJB20" s="353"/>
      <c r="AJC20" s="353"/>
      <c r="AJD20" s="353"/>
      <c r="AJE20" s="353"/>
      <c r="AJF20" s="353"/>
      <c r="AJG20" s="353"/>
      <c r="AJH20" s="353"/>
      <c r="AJI20" s="353"/>
      <c r="AJJ20" s="353"/>
      <c r="AJK20" s="353"/>
      <c r="AJL20" s="353"/>
      <c r="AJM20" s="353"/>
      <c r="AJN20" s="353"/>
      <c r="AJO20" s="353"/>
      <c r="AJP20" s="353"/>
      <c r="AJQ20" s="353"/>
      <c r="AJR20" s="353"/>
      <c r="AJS20" s="353"/>
      <c r="AJT20" s="353"/>
      <c r="AJU20" s="353"/>
      <c r="AJV20" s="353"/>
      <c r="AJW20" s="353"/>
      <c r="AJX20" s="353"/>
      <c r="AJY20" s="353"/>
      <c r="AJZ20" s="353"/>
      <c r="AKA20" s="353"/>
      <c r="AKB20" s="353"/>
      <c r="AKC20" s="353"/>
      <c r="AKD20" s="353"/>
      <c r="AKE20" s="353"/>
      <c r="AKF20" s="353"/>
      <c r="AKG20" s="353"/>
      <c r="AKH20" s="353"/>
      <c r="AKI20" s="353"/>
      <c r="AKJ20" s="353"/>
      <c r="AKK20" s="353"/>
      <c r="AKL20" s="353"/>
      <c r="AKM20" s="353"/>
      <c r="AKN20" s="353"/>
      <c r="AKO20" s="353"/>
      <c r="AKP20" s="353"/>
      <c r="AKQ20" s="353"/>
      <c r="AKR20" s="353"/>
      <c r="AKS20" s="353"/>
      <c r="AKT20" s="353"/>
      <c r="AKU20" s="353"/>
      <c r="AKV20" s="353"/>
      <c r="AKW20" s="353"/>
      <c r="AKX20" s="353"/>
      <c r="AKY20" s="353"/>
      <c r="AKZ20" s="353"/>
      <c r="ALA20" s="353"/>
      <c r="ALB20" s="353"/>
      <c r="ALC20" s="353"/>
      <c r="ALD20" s="353"/>
      <c r="ALE20" s="353"/>
      <c r="ALF20" s="353"/>
      <c r="ALG20" s="353"/>
      <c r="ALH20" s="353"/>
      <c r="ALI20" s="353"/>
      <c r="ALJ20" s="353"/>
      <c r="ALK20" s="353"/>
      <c r="ALL20" s="353"/>
      <c r="ALM20" s="353"/>
      <c r="ALN20" s="353"/>
      <c r="ALO20" s="353"/>
      <c r="ALP20" s="353"/>
      <c r="ALQ20" s="353"/>
      <c r="ALR20" s="353"/>
      <c r="ALS20" s="353"/>
      <c r="ALT20" s="353"/>
      <c r="ALU20" s="353"/>
      <c r="ALV20" s="353"/>
      <c r="ALW20" s="353"/>
      <c r="ALX20" s="353"/>
      <c r="ALY20" s="353"/>
      <c r="ALZ20" s="353"/>
      <c r="AMA20" s="353"/>
      <c r="AMB20" s="353"/>
      <c r="AMC20" s="353"/>
      <c r="AMD20" s="353"/>
      <c r="AME20" s="353"/>
      <c r="AMF20" s="353"/>
      <c r="AMG20" s="353"/>
      <c r="AMH20" s="353"/>
      <c r="AMI20" s="353"/>
      <c r="AMJ20" s="353"/>
      <c r="AMK20" s="353"/>
      <c r="AML20" s="353"/>
      <c r="AMM20" s="353"/>
      <c r="AMN20" s="353"/>
      <c r="AMO20" s="353"/>
      <c r="AMP20" s="353"/>
    </row>
    <row r="21" spans="2:1030" s="354" customFormat="1" ht="12.75" x14ac:dyDescent="0.2">
      <c r="B21" s="404">
        <f t="shared" si="13"/>
        <v>8</v>
      </c>
      <c r="C21" s="405" t="s">
        <v>299</v>
      </c>
      <c r="D21" s="406" t="s">
        <v>299</v>
      </c>
      <c r="E21" s="406" t="s">
        <v>300</v>
      </c>
      <c r="F21" s="407" t="s">
        <v>301</v>
      </c>
      <c r="G21" s="407" t="s">
        <v>302</v>
      </c>
      <c r="H21" s="408" t="s">
        <v>22</v>
      </c>
      <c r="I21" s="408" t="s">
        <v>21</v>
      </c>
      <c r="J21" s="408" t="s">
        <v>35</v>
      </c>
      <c r="K21" s="408" t="s">
        <v>35</v>
      </c>
      <c r="L21" s="408" t="s">
        <v>37</v>
      </c>
      <c r="M21" s="408" t="s">
        <v>35</v>
      </c>
      <c r="N21" s="409">
        <v>11860223.52</v>
      </c>
      <c r="O21" s="409">
        <v>0</v>
      </c>
      <c r="P21" s="409">
        <v>7480452.4175289422</v>
      </c>
      <c r="Q21" s="409">
        <f t="shared" si="4"/>
        <v>0</v>
      </c>
      <c r="R21" s="409">
        <f t="shared" si="5"/>
        <v>11860223.52</v>
      </c>
      <c r="S21" s="410">
        <f t="shared" si="6"/>
        <v>10674201</v>
      </c>
      <c r="T21" s="409">
        <f t="shared" si="7"/>
        <v>10674201</v>
      </c>
      <c r="U21" s="411">
        <f t="shared" si="8"/>
        <v>3749847</v>
      </c>
      <c r="V21" s="411">
        <f t="shared" si="9"/>
        <v>1186022.5199999996</v>
      </c>
      <c r="W21" s="412">
        <v>0</v>
      </c>
      <c r="X21" s="412">
        <v>0</v>
      </c>
      <c r="Y21" s="411">
        <f t="shared" si="10"/>
        <v>10674201</v>
      </c>
      <c r="Z21" s="411">
        <f t="shared" si="10"/>
        <v>3749847</v>
      </c>
      <c r="AA21" s="411">
        <f t="shared" si="11"/>
        <v>0</v>
      </c>
      <c r="AB21" s="383"/>
      <c r="AC21" s="413"/>
      <c r="AD21" s="413" t="str">
        <f t="shared" si="12"/>
        <v/>
      </c>
      <c r="AE21" s="414" t="str">
        <f>IF($AD21="","",COUNTIFS($AD$14:AD21,"Yes"))</f>
        <v/>
      </c>
      <c r="AF21" s="413" t="b">
        <f>IF(C21="", "", AND(INDEX('Summary Dynamic'!$D$8:$D$10, MATCH(H21, 'Summary Dynamic'!$C$8:$C$10, 0))="Include", INDEX('Summary Dynamic'!$D$12:$D$14, MATCH(I21, 'Summary Dynamic'!$C$12:$C$14, 0))="Include", INDEX('Summary Dynamic'!$D$16:$D$17, MATCH(J21, 'Summary Dynamic'!$C$16:$C$17, 0))="Include", INDEX('Summary Dynamic'!$D$19:$D$20, MATCH(K21, 'Summary Dynamic'!$C$19:$C$20, 0))="Include", INDEX('Summary Dynamic'!$D$22:$D$23, MATCH(L21, 'Summary Dynamic'!$C$22:$C$23, 0))="Include", INDEX('Summary Dynamic'!$D$25:$D$26, MATCH(M21, 'Summary Dynamic'!$C$25:$C$26, 0))="Include"))</f>
        <v>1</v>
      </c>
      <c r="AG21" s="414">
        <f>IFERROR(IF(C21="", "", IF(AF21=TRUE, COUNTIFS($AF$14:AF21, TRUE), "n/a")), "n/a")</f>
        <v>8</v>
      </c>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c r="ED21" s="353"/>
      <c r="EE21" s="353"/>
      <c r="EF21" s="353"/>
      <c r="EG21" s="353"/>
      <c r="EH21" s="353"/>
      <c r="EI21" s="353"/>
      <c r="EJ21" s="353"/>
      <c r="EK21" s="353"/>
      <c r="EL21" s="353"/>
      <c r="EM21" s="353"/>
      <c r="EN21" s="353"/>
      <c r="EO21" s="353"/>
      <c r="EP21" s="353"/>
      <c r="EQ21" s="353"/>
      <c r="ER21" s="353"/>
      <c r="ES21" s="353"/>
      <c r="ET21" s="353"/>
      <c r="EU21" s="353"/>
      <c r="EV21" s="353"/>
      <c r="EW21" s="353"/>
      <c r="EX21" s="353"/>
      <c r="EY21" s="353"/>
      <c r="EZ21" s="353"/>
      <c r="FA21" s="353"/>
      <c r="FB21" s="353"/>
      <c r="FC21" s="353"/>
      <c r="FD21" s="353"/>
      <c r="FE21" s="353"/>
      <c r="FF21" s="353"/>
      <c r="FG21" s="353"/>
      <c r="FH21" s="353"/>
      <c r="FI21" s="353"/>
      <c r="FJ21" s="353"/>
      <c r="FK21" s="353"/>
      <c r="FL21" s="353"/>
      <c r="FM21" s="353"/>
      <c r="FN21" s="353"/>
      <c r="FO21" s="353"/>
      <c r="FP21" s="353"/>
      <c r="FQ21" s="353"/>
      <c r="FR21" s="353"/>
      <c r="FS21" s="353"/>
      <c r="FT21" s="353"/>
      <c r="FU21" s="353"/>
      <c r="FV21" s="353"/>
      <c r="FW21" s="353"/>
      <c r="FX21" s="353"/>
      <c r="FY21" s="353"/>
      <c r="FZ21" s="353"/>
      <c r="GA21" s="353"/>
      <c r="GB21" s="353"/>
      <c r="GC21" s="353"/>
      <c r="GD21" s="353"/>
      <c r="GE21" s="353"/>
      <c r="GF21" s="353"/>
      <c r="GG21" s="353"/>
      <c r="GH21" s="353"/>
      <c r="GI21" s="353"/>
      <c r="GJ21" s="353"/>
      <c r="GK21" s="353"/>
      <c r="GL21" s="353"/>
      <c r="GM21" s="353"/>
      <c r="GN21" s="353"/>
      <c r="GO21" s="353"/>
      <c r="GP21" s="353"/>
      <c r="GQ21" s="353"/>
      <c r="GR21" s="353"/>
      <c r="GS21" s="353"/>
      <c r="GT21" s="353"/>
      <c r="GU21" s="353"/>
      <c r="GV21" s="353"/>
      <c r="GW21" s="353"/>
      <c r="GX21" s="353"/>
      <c r="GY21" s="353"/>
      <c r="GZ21" s="353"/>
      <c r="HA21" s="353"/>
      <c r="HB21" s="353"/>
      <c r="HC21" s="353"/>
      <c r="HD21" s="353"/>
      <c r="HE21" s="353"/>
      <c r="HF21" s="353"/>
      <c r="HG21" s="353"/>
      <c r="HH21" s="353"/>
      <c r="HI21" s="353"/>
      <c r="HJ21" s="353"/>
      <c r="HK21" s="353"/>
      <c r="HL21" s="353"/>
      <c r="HM21" s="353"/>
      <c r="HN21" s="353"/>
      <c r="HO21" s="353"/>
      <c r="HP21" s="353"/>
      <c r="HQ21" s="353"/>
      <c r="HR21" s="353"/>
      <c r="HS21" s="353"/>
      <c r="HT21" s="353"/>
      <c r="HU21" s="353"/>
      <c r="HV21" s="353"/>
      <c r="HW21" s="353"/>
      <c r="HX21" s="353"/>
      <c r="HY21" s="353"/>
      <c r="HZ21" s="353"/>
      <c r="IA21" s="353"/>
      <c r="IB21" s="353"/>
      <c r="IC21" s="353"/>
      <c r="ID21" s="353"/>
      <c r="IE21" s="353"/>
      <c r="IF21" s="353"/>
      <c r="IG21" s="353"/>
      <c r="IH21" s="353"/>
      <c r="II21" s="353"/>
      <c r="IJ21" s="353"/>
      <c r="IK21" s="353"/>
      <c r="IL21" s="353"/>
      <c r="IM21" s="353"/>
      <c r="IN21" s="353"/>
      <c r="IO21" s="353"/>
      <c r="IP21" s="353"/>
      <c r="IQ21" s="353"/>
      <c r="IR21" s="353"/>
      <c r="IS21" s="353"/>
      <c r="IT21" s="353"/>
      <c r="IU21" s="353"/>
      <c r="IV21" s="353"/>
      <c r="IW21" s="353"/>
      <c r="IX21" s="353"/>
      <c r="IY21" s="353"/>
      <c r="IZ21" s="353"/>
      <c r="JA21" s="353"/>
      <c r="JB21" s="353"/>
      <c r="JC21" s="353"/>
      <c r="JD21" s="353"/>
      <c r="JE21" s="353"/>
      <c r="JF21" s="353"/>
      <c r="JG21" s="353"/>
      <c r="JH21" s="353"/>
      <c r="JI21" s="353"/>
      <c r="JJ21" s="353"/>
      <c r="JK21" s="353"/>
      <c r="JL21" s="353"/>
      <c r="JM21" s="353"/>
      <c r="JN21" s="353"/>
      <c r="JO21" s="353"/>
      <c r="JP21" s="353"/>
      <c r="JQ21" s="353"/>
      <c r="JR21" s="353"/>
      <c r="JS21" s="353"/>
      <c r="JT21" s="353"/>
      <c r="JU21" s="353"/>
      <c r="JV21" s="353"/>
      <c r="JW21" s="353"/>
      <c r="JX21" s="353"/>
      <c r="JY21" s="353"/>
      <c r="JZ21" s="353"/>
      <c r="KA21" s="353"/>
      <c r="KB21" s="353"/>
      <c r="KC21" s="353"/>
      <c r="KD21" s="353"/>
      <c r="KE21" s="353"/>
      <c r="KF21" s="353"/>
      <c r="KG21" s="353"/>
      <c r="KH21" s="353"/>
      <c r="KI21" s="353"/>
      <c r="KJ21" s="353"/>
      <c r="KK21" s="353"/>
      <c r="KL21" s="353"/>
      <c r="KM21" s="353"/>
      <c r="KN21" s="353"/>
      <c r="KO21" s="353"/>
      <c r="KP21" s="353"/>
      <c r="KQ21" s="353"/>
      <c r="KR21" s="353"/>
      <c r="KS21" s="353"/>
      <c r="KT21" s="353"/>
      <c r="KU21" s="353"/>
      <c r="KV21" s="353"/>
      <c r="KW21" s="353"/>
      <c r="KX21" s="353"/>
      <c r="KY21" s="353"/>
      <c r="KZ21" s="353"/>
      <c r="LA21" s="353"/>
      <c r="LB21" s="353"/>
      <c r="LC21" s="353"/>
      <c r="LD21" s="353"/>
      <c r="LE21" s="353"/>
      <c r="LF21" s="353"/>
      <c r="LG21" s="353"/>
      <c r="LH21" s="353"/>
      <c r="LI21" s="353"/>
      <c r="LJ21" s="353"/>
      <c r="LK21" s="353"/>
      <c r="LL21" s="353"/>
      <c r="LM21" s="353"/>
      <c r="LN21" s="353"/>
      <c r="LO21" s="353"/>
      <c r="LP21" s="353"/>
      <c r="LQ21" s="353"/>
      <c r="LR21" s="353"/>
      <c r="LS21" s="353"/>
      <c r="LT21" s="353"/>
      <c r="LU21" s="353"/>
      <c r="LV21" s="353"/>
      <c r="LW21" s="353"/>
      <c r="LX21" s="353"/>
      <c r="LY21" s="353"/>
      <c r="LZ21" s="353"/>
      <c r="MA21" s="353"/>
      <c r="MB21" s="353"/>
      <c r="MC21" s="353"/>
      <c r="MD21" s="353"/>
      <c r="ME21" s="353"/>
      <c r="MF21" s="353"/>
      <c r="MG21" s="353"/>
      <c r="MH21" s="353"/>
      <c r="MI21" s="353"/>
      <c r="MJ21" s="353"/>
      <c r="MK21" s="353"/>
      <c r="ML21" s="353"/>
      <c r="MM21" s="353"/>
      <c r="MN21" s="353"/>
      <c r="MO21" s="353"/>
      <c r="MP21" s="353"/>
      <c r="MQ21" s="353"/>
      <c r="MR21" s="353"/>
      <c r="MS21" s="353"/>
      <c r="MT21" s="353"/>
      <c r="MU21" s="353"/>
      <c r="MV21" s="353"/>
      <c r="MW21" s="353"/>
      <c r="MX21" s="353"/>
      <c r="MY21" s="353"/>
      <c r="MZ21" s="353"/>
      <c r="NA21" s="353"/>
      <c r="NB21" s="353"/>
      <c r="NC21" s="353"/>
      <c r="ND21" s="353"/>
      <c r="NE21" s="353"/>
      <c r="NF21" s="353"/>
      <c r="NG21" s="353"/>
      <c r="NH21" s="353"/>
      <c r="NI21" s="353"/>
      <c r="NJ21" s="353"/>
      <c r="NK21" s="353"/>
      <c r="NL21" s="353"/>
      <c r="NM21" s="353"/>
      <c r="NN21" s="353"/>
      <c r="NO21" s="353"/>
      <c r="NP21" s="353"/>
      <c r="NQ21" s="353"/>
      <c r="NR21" s="353"/>
      <c r="NS21" s="353"/>
      <c r="NT21" s="353"/>
      <c r="NU21" s="353"/>
      <c r="NV21" s="353"/>
      <c r="NW21" s="353"/>
      <c r="NX21" s="353"/>
      <c r="NY21" s="353"/>
      <c r="NZ21" s="353"/>
      <c r="OA21" s="353"/>
      <c r="OB21" s="353"/>
      <c r="OC21" s="353"/>
      <c r="OD21" s="353"/>
      <c r="OE21" s="353"/>
      <c r="OF21" s="353"/>
      <c r="OG21" s="353"/>
      <c r="OH21" s="353"/>
      <c r="OI21" s="353"/>
      <c r="OJ21" s="353"/>
      <c r="OK21" s="353"/>
      <c r="OL21" s="353"/>
      <c r="OM21" s="353"/>
      <c r="ON21" s="353"/>
      <c r="OO21" s="353"/>
      <c r="OP21" s="353"/>
      <c r="OQ21" s="353"/>
      <c r="OR21" s="353"/>
      <c r="OS21" s="353"/>
      <c r="OT21" s="353"/>
      <c r="OU21" s="353"/>
      <c r="OV21" s="353"/>
      <c r="OW21" s="353"/>
      <c r="OX21" s="353"/>
      <c r="OY21" s="353"/>
      <c r="OZ21" s="353"/>
      <c r="PA21" s="353"/>
      <c r="PB21" s="353"/>
      <c r="PC21" s="353"/>
      <c r="PD21" s="353"/>
      <c r="PE21" s="353"/>
      <c r="PF21" s="353"/>
      <c r="PG21" s="353"/>
      <c r="PH21" s="353"/>
      <c r="PI21" s="353"/>
      <c r="PJ21" s="353"/>
      <c r="PK21" s="353"/>
      <c r="PL21" s="353"/>
      <c r="PM21" s="353"/>
      <c r="PN21" s="353"/>
      <c r="PO21" s="353"/>
      <c r="PP21" s="353"/>
      <c r="PQ21" s="353"/>
      <c r="PR21" s="353"/>
      <c r="PS21" s="353"/>
      <c r="PT21" s="353"/>
      <c r="PU21" s="353"/>
      <c r="PV21" s="353"/>
      <c r="PW21" s="353"/>
      <c r="PX21" s="353"/>
      <c r="PY21" s="353"/>
      <c r="PZ21" s="353"/>
      <c r="QA21" s="353"/>
      <c r="QB21" s="353"/>
      <c r="QC21" s="353"/>
      <c r="QD21" s="353"/>
      <c r="QE21" s="353"/>
      <c r="QF21" s="353"/>
      <c r="QG21" s="353"/>
      <c r="QH21" s="353"/>
      <c r="QI21" s="353"/>
      <c r="QJ21" s="353"/>
      <c r="QK21" s="353"/>
      <c r="QL21" s="353"/>
      <c r="QM21" s="353"/>
      <c r="QN21" s="353"/>
      <c r="QO21" s="353"/>
      <c r="QP21" s="353"/>
      <c r="QQ21" s="353"/>
      <c r="QR21" s="353"/>
      <c r="QS21" s="353"/>
      <c r="QT21" s="353"/>
      <c r="QU21" s="353"/>
      <c r="QV21" s="353"/>
      <c r="QW21" s="353"/>
      <c r="QX21" s="353"/>
      <c r="QY21" s="353"/>
      <c r="QZ21" s="353"/>
      <c r="RA21" s="353"/>
      <c r="RB21" s="353"/>
      <c r="RC21" s="353"/>
      <c r="RD21" s="353"/>
      <c r="RE21" s="353"/>
      <c r="RF21" s="353"/>
      <c r="RG21" s="353"/>
      <c r="RH21" s="353"/>
      <c r="RI21" s="353"/>
      <c r="RJ21" s="353"/>
      <c r="RK21" s="353"/>
      <c r="RL21" s="353"/>
      <c r="RM21" s="353"/>
      <c r="RN21" s="353"/>
      <c r="RO21" s="353"/>
      <c r="RP21" s="353"/>
      <c r="RQ21" s="353"/>
      <c r="RR21" s="353"/>
      <c r="RS21" s="353"/>
      <c r="RT21" s="353"/>
      <c r="RU21" s="353"/>
      <c r="RV21" s="353"/>
      <c r="RW21" s="353"/>
      <c r="RX21" s="353"/>
      <c r="RY21" s="353"/>
      <c r="RZ21" s="353"/>
      <c r="SA21" s="353"/>
      <c r="SB21" s="353"/>
      <c r="SC21" s="353"/>
      <c r="SD21" s="353"/>
      <c r="SE21" s="353"/>
      <c r="SF21" s="353"/>
      <c r="SG21" s="353"/>
      <c r="SH21" s="353"/>
      <c r="SI21" s="353"/>
      <c r="SJ21" s="353"/>
      <c r="SK21" s="353"/>
      <c r="SL21" s="353"/>
      <c r="SM21" s="353"/>
      <c r="SN21" s="353"/>
      <c r="SO21" s="353"/>
      <c r="SP21" s="353"/>
      <c r="SQ21" s="353"/>
      <c r="SR21" s="353"/>
      <c r="SS21" s="353"/>
      <c r="ST21" s="353"/>
      <c r="SU21" s="353"/>
      <c r="SV21" s="353"/>
      <c r="SW21" s="353"/>
      <c r="SX21" s="353"/>
      <c r="SY21" s="353"/>
      <c r="SZ21" s="353"/>
      <c r="TA21" s="353"/>
      <c r="TB21" s="353"/>
      <c r="TC21" s="353"/>
      <c r="TD21" s="353"/>
      <c r="TE21" s="353"/>
      <c r="TF21" s="353"/>
      <c r="TG21" s="353"/>
      <c r="TH21" s="353"/>
      <c r="TI21" s="353"/>
      <c r="TJ21" s="353"/>
      <c r="TK21" s="353"/>
      <c r="TL21" s="353"/>
      <c r="TM21" s="353"/>
      <c r="TN21" s="353"/>
      <c r="TO21" s="353"/>
      <c r="TP21" s="353"/>
      <c r="TQ21" s="353"/>
      <c r="TR21" s="353"/>
      <c r="TS21" s="353"/>
      <c r="TT21" s="353"/>
      <c r="TU21" s="353"/>
      <c r="TV21" s="353"/>
      <c r="TW21" s="353"/>
      <c r="TX21" s="353"/>
      <c r="TY21" s="353"/>
      <c r="TZ21" s="353"/>
      <c r="UA21" s="353"/>
      <c r="UB21" s="353"/>
      <c r="UC21" s="353"/>
      <c r="UD21" s="353"/>
      <c r="UE21" s="353"/>
      <c r="UF21" s="353"/>
      <c r="UG21" s="353"/>
      <c r="UH21" s="353"/>
      <c r="UI21" s="353"/>
      <c r="UJ21" s="353"/>
      <c r="UK21" s="353"/>
      <c r="UL21" s="353"/>
      <c r="UM21" s="353"/>
      <c r="UN21" s="353"/>
      <c r="UO21" s="353"/>
      <c r="UP21" s="353"/>
      <c r="UQ21" s="353"/>
      <c r="UR21" s="353"/>
      <c r="US21" s="353"/>
      <c r="UT21" s="353"/>
      <c r="UU21" s="353"/>
      <c r="UV21" s="353"/>
      <c r="UW21" s="353"/>
      <c r="UX21" s="353"/>
      <c r="UY21" s="353"/>
      <c r="UZ21" s="353"/>
      <c r="VA21" s="353"/>
      <c r="VB21" s="353"/>
      <c r="VC21" s="353"/>
      <c r="VD21" s="353"/>
      <c r="VE21" s="353"/>
      <c r="VF21" s="353"/>
      <c r="VG21" s="353"/>
      <c r="VH21" s="353"/>
      <c r="VI21" s="353"/>
      <c r="VJ21" s="353"/>
      <c r="VK21" s="353"/>
      <c r="VL21" s="353"/>
      <c r="VM21" s="353"/>
      <c r="VN21" s="353"/>
      <c r="VO21" s="353"/>
      <c r="VP21" s="353"/>
      <c r="VQ21" s="353"/>
      <c r="VR21" s="353"/>
      <c r="VS21" s="353"/>
      <c r="VT21" s="353"/>
      <c r="VU21" s="353"/>
      <c r="VV21" s="353"/>
      <c r="VW21" s="353"/>
      <c r="VX21" s="353"/>
      <c r="VY21" s="353"/>
      <c r="VZ21" s="353"/>
      <c r="WA21" s="353"/>
      <c r="WB21" s="353"/>
      <c r="WC21" s="353"/>
      <c r="WD21" s="353"/>
      <c r="WE21" s="353"/>
      <c r="WF21" s="353"/>
      <c r="WG21" s="353"/>
      <c r="WH21" s="353"/>
      <c r="WI21" s="353"/>
      <c r="WJ21" s="353"/>
      <c r="WK21" s="353"/>
      <c r="WL21" s="353"/>
      <c r="WM21" s="353"/>
      <c r="WN21" s="353"/>
      <c r="WO21" s="353"/>
      <c r="WP21" s="353"/>
      <c r="WQ21" s="353"/>
      <c r="WR21" s="353"/>
      <c r="WS21" s="353"/>
      <c r="WT21" s="353"/>
      <c r="WU21" s="353"/>
      <c r="WV21" s="353"/>
      <c r="WW21" s="353"/>
      <c r="WX21" s="353"/>
      <c r="WY21" s="353"/>
      <c r="WZ21" s="353"/>
      <c r="XA21" s="353"/>
      <c r="XB21" s="353"/>
      <c r="XC21" s="353"/>
      <c r="XD21" s="353"/>
      <c r="XE21" s="353"/>
      <c r="XF21" s="353"/>
      <c r="XG21" s="353"/>
      <c r="XH21" s="353"/>
      <c r="XI21" s="353"/>
      <c r="XJ21" s="353"/>
      <c r="XK21" s="353"/>
      <c r="XL21" s="353"/>
      <c r="XM21" s="353"/>
      <c r="XN21" s="353"/>
      <c r="XO21" s="353"/>
      <c r="XP21" s="353"/>
      <c r="XQ21" s="353"/>
      <c r="XR21" s="353"/>
      <c r="XS21" s="353"/>
      <c r="XT21" s="353"/>
      <c r="XU21" s="353"/>
      <c r="XV21" s="353"/>
      <c r="XW21" s="353"/>
      <c r="XX21" s="353"/>
      <c r="XY21" s="353"/>
      <c r="XZ21" s="353"/>
      <c r="YA21" s="353"/>
      <c r="YB21" s="353"/>
      <c r="YC21" s="353"/>
      <c r="YD21" s="353"/>
      <c r="YE21" s="353"/>
      <c r="YF21" s="353"/>
      <c r="YG21" s="353"/>
      <c r="YH21" s="353"/>
      <c r="YI21" s="353"/>
      <c r="YJ21" s="353"/>
      <c r="YK21" s="353"/>
      <c r="YL21" s="353"/>
      <c r="YM21" s="353"/>
      <c r="YN21" s="353"/>
      <c r="YO21" s="353"/>
      <c r="YP21" s="353"/>
      <c r="YQ21" s="353"/>
      <c r="YR21" s="353"/>
      <c r="YS21" s="353"/>
      <c r="YT21" s="353"/>
      <c r="YU21" s="353"/>
      <c r="YV21" s="353"/>
      <c r="YW21" s="353"/>
      <c r="YX21" s="353"/>
      <c r="YY21" s="353"/>
      <c r="YZ21" s="353"/>
      <c r="ZA21" s="353"/>
      <c r="ZB21" s="353"/>
      <c r="ZC21" s="353"/>
      <c r="ZD21" s="353"/>
      <c r="ZE21" s="353"/>
      <c r="ZF21" s="353"/>
      <c r="ZG21" s="353"/>
      <c r="ZH21" s="353"/>
      <c r="ZI21" s="353"/>
      <c r="ZJ21" s="353"/>
      <c r="ZK21" s="353"/>
      <c r="ZL21" s="353"/>
      <c r="ZM21" s="353"/>
      <c r="ZN21" s="353"/>
      <c r="ZO21" s="353"/>
      <c r="ZP21" s="353"/>
      <c r="ZQ21" s="353"/>
      <c r="ZR21" s="353"/>
      <c r="ZS21" s="353"/>
      <c r="ZT21" s="353"/>
      <c r="ZU21" s="353"/>
      <c r="ZV21" s="353"/>
      <c r="ZW21" s="353"/>
      <c r="ZX21" s="353"/>
      <c r="ZY21" s="353"/>
      <c r="ZZ21" s="353"/>
      <c r="AAA21" s="353"/>
      <c r="AAB21" s="353"/>
      <c r="AAC21" s="353"/>
      <c r="AAD21" s="353"/>
      <c r="AAE21" s="353"/>
      <c r="AAF21" s="353"/>
      <c r="AAG21" s="353"/>
      <c r="AAH21" s="353"/>
      <c r="AAI21" s="353"/>
      <c r="AAJ21" s="353"/>
      <c r="AAK21" s="353"/>
      <c r="AAL21" s="353"/>
      <c r="AAM21" s="353"/>
      <c r="AAN21" s="353"/>
      <c r="AAO21" s="353"/>
      <c r="AAP21" s="353"/>
      <c r="AAQ21" s="353"/>
      <c r="AAR21" s="353"/>
      <c r="AAS21" s="353"/>
      <c r="AAT21" s="353"/>
      <c r="AAU21" s="353"/>
      <c r="AAV21" s="353"/>
      <c r="AAW21" s="353"/>
      <c r="AAX21" s="353"/>
      <c r="AAY21" s="353"/>
      <c r="AAZ21" s="353"/>
      <c r="ABA21" s="353"/>
      <c r="ABB21" s="353"/>
      <c r="ABC21" s="353"/>
      <c r="ABD21" s="353"/>
      <c r="ABE21" s="353"/>
      <c r="ABF21" s="353"/>
      <c r="ABG21" s="353"/>
      <c r="ABH21" s="353"/>
      <c r="ABI21" s="353"/>
      <c r="ABJ21" s="353"/>
      <c r="ABK21" s="353"/>
      <c r="ABL21" s="353"/>
      <c r="ABM21" s="353"/>
      <c r="ABN21" s="353"/>
      <c r="ABO21" s="353"/>
      <c r="ABP21" s="353"/>
      <c r="ABQ21" s="353"/>
      <c r="ABR21" s="353"/>
      <c r="ABS21" s="353"/>
      <c r="ABT21" s="353"/>
      <c r="ABU21" s="353"/>
      <c r="ABV21" s="353"/>
      <c r="ABW21" s="353"/>
      <c r="ABX21" s="353"/>
      <c r="ABY21" s="353"/>
      <c r="ABZ21" s="353"/>
      <c r="ACA21" s="353"/>
      <c r="ACB21" s="353"/>
      <c r="ACC21" s="353"/>
      <c r="ACD21" s="353"/>
      <c r="ACE21" s="353"/>
      <c r="ACF21" s="353"/>
      <c r="ACG21" s="353"/>
      <c r="ACH21" s="353"/>
      <c r="ACI21" s="353"/>
      <c r="ACJ21" s="353"/>
      <c r="ACK21" s="353"/>
      <c r="ACL21" s="353"/>
      <c r="ACM21" s="353"/>
      <c r="ACN21" s="353"/>
      <c r="ACO21" s="353"/>
      <c r="ACP21" s="353"/>
      <c r="ACQ21" s="353"/>
      <c r="ACR21" s="353"/>
      <c r="ACS21" s="353"/>
      <c r="ACT21" s="353"/>
      <c r="ACU21" s="353"/>
      <c r="ACV21" s="353"/>
      <c r="ACW21" s="353"/>
      <c r="ACX21" s="353"/>
      <c r="ACY21" s="353"/>
      <c r="ACZ21" s="353"/>
      <c r="ADA21" s="353"/>
      <c r="ADB21" s="353"/>
      <c r="ADC21" s="353"/>
      <c r="ADD21" s="353"/>
      <c r="ADE21" s="353"/>
      <c r="ADF21" s="353"/>
      <c r="ADG21" s="353"/>
      <c r="ADH21" s="353"/>
      <c r="ADI21" s="353"/>
      <c r="ADJ21" s="353"/>
      <c r="ADK21" s="353"/>
      <c r="ADL21" s="353"/>
      <c r="ADM21" s="353"/>
      <c r="ADN21" s="353"/>
      <c r="ADO21" s="353"/>
      <c r="ADP21" s="353"/>
      <c r="ADQ21" s="353"/>
      <c r="ADR21" s="353"/>
      <c r="ADS21" s="353"/>
      <c r="ADT21" s="353"/>
      <c r="ADU21" s="353"/>
      <c r="ADV21" s="353"/>
      <c r="ADW21" s="353"/>
      <c r="ADX21" s="353"/>
      <c r="ADY21" s="353"/>
      <c r="ADZ21" s="353"/>
      <c r="AEA21" s="353"/>
      <c r="AEB21" s="353"/>
      <c r="AEC21" s="353"/>
      <c r="AED21" s="353"/>
      <c r="AEE21" s="353"/>
      <c r="AEF21" s="353"/>
      <c r="AEG21" s="353"/>
      <c r="AEH21" s="353"/>
      <c r="AEI21" s="353"/>
      <c r="AEJ21" s="353"/>
      <c r="AEK21" s="353"/>
      <c r="AEL21" s="353"/>
      <c r="AEM21" s="353"/>
      <c r="AEN21" s="353"/>
      <c r="AEO21" s="353"/>
      <c r="AEP21" s="353"/>
      <c r="AEQ21" s="353"/>
      <c r="AER21" s="353"/>
      <c r="AES21" s="353"/>
      <c r="AET21" s="353"/>
      <c r="AEU21" s="353"/>
      <c r="AEV21" s="353"/>
      <c r="AEW21" s="353"/>
      <c r="AEX21" s="353"/>
      <c r="AEY21" s="353"/>
      <c r="AEZ21" s="353"/>
      <c r="AFA21" s="353"/>
      <c r="AFB21" s="353"/>
      <c r="AFC21" s="353"/>
      <c r="AFD21" s="353"/>
      <c r="AFE21" s="353"/>
      <c r="AFF21" s="353"/>
      <c r="AFG21" s="353"/>
      <c r="AFH21" s="353"/>
      <c r="AFI21" s="353"/>
      <c r="AFJ21" s="353"/>
      <c r="AFK21" s="353"/>
      <c r="AFL21" s="353"/>
      <c r="AFM21" s="353"/>
      <c r="AFN21" s="353"/>
      <c r="AFO21" s="353"/>
      <c r="AFP21" s="353"/>
      <c r="AFQ21" s="353"/>
      <c r="AFR21" s="353"/>
      <c r="AFS21" s="353"/>
      <c r="AFT21" s="353"/>
      <c r="AFU21" s="353"/>
      <c r="AFV21" s="353"/>
      <c r="AFW21" s="353"/>
      <c r="AFX21" s="353"/>
      <c r="AFY21" s="353"/>
      <c r="AFZ21" s="353"/>
      <c r="AGA21" s="353"/>
      <c r="AGB21" s="353"/>
      <c r="AGC21" s="353"/>
      <c r="AGD21" s="353"/>
      <c r="AGE21" s="353"/>
      <c r="AGF21" s="353"/>
      <c r="AGG21" s="353"/>
      <c r="AGH21" s="353"/>
      <c r="AGI21" s="353"/>
      <c r="AGJ21" s="353"/>
      <c r="AGK21" s="353"/>
      <c r="AGL21" s="353"/>
      <c r="AGM21" s="353"/>
      <c r="AGN21" s="353"/>
      <c r="AGO21" s="353"/>
      <c r="AGP21" s="353"/>
      <c r="AGQ21" s="353"/>
      <c r="AGR21" s="353"/>
      <c r="AGS21" s="353"/>
      <c r="AGT21" s="353"/>
      <c r="AGU21" s="353"/>
      <c r="AGV21" s="353"/>
      <c r="AGW21" s="353"/>
      <c r="AGX21" s="353"/>
      <c r="AGY21" s="353"/>
      <c r="AGZ21" s="353"/>
      <c r="AHA21" s="353"/>
      <c r="AHB21" s="353"/>
      <c r="AHC21" s="353"/>
      <c r="AHD21" s="353"/>
      <c r="AHE21" s="353"/>
      <c r="AHF21" s="353"/>
      <c r="AHG21" s="353"/>
      <c r="AHH21" s="353"/>
      <c r="AHI21" s="353"/>
      <c r="AHJ21" s="353"/>
      <c r="AHK21" s="353"/>
      <c r="AHL21" s="353"/>
      <c r="AHM21" s="353"/>
      <c r="AHN21" s="353"/>
      <c r="AHO21" s="353"/>
      <c r="AHP21" s="353"/>
      <c r="AHQ21" s="353"/>
      <c r="AHR21" s="353"/>
      <c r="AHS21" s="353"/>
      <c r="AHT21" s="353"/>
      <c r="AHU21" s="353"/>
      <c r="AHV21" s="353"/>
      <c r="AHW21" s="353"/>
      <c r="AHX21" s="353"/>
      <c r="AHY21" s="353"/>
      <c r="AHZ21" s="353"/>
      <c r="AIA21" s="353"/>
      <c r="AIB21" s="353"/>
      <c r="AIC21" s="353"/>
      <c r="AID21" s="353"/>
      <c r="AIE21" s="353"/>
      <c r="AIF21" s="353"/>
      <c r="AIG21" s="353"/>
      <c r="AIH21" s="353"/>
      <c r="AII21" s="353"/>
      <c r="AIJ21" s="353"/>
      <c r="AIK21" s="353"/>
      <c r="AIL21" s="353"/>
      <c r="AIM21" s="353"/>
      <c r="AIN21" s="353"/>
      <c r="AIO21" s="353"/>
      <c r="AIP21" s="353"/>
      <c r="AIQ21" s="353"/>
      <c r="AIR21" s="353"/>
      <c r="AIS21" s="353"/>
      <c r="AIT21" s="353"/>
      <c r="AIU21" s="353"/>
      <c r="AIV21" s="353"/>
      <c r="AIW21" s="353"/>
      <c r="AIX21" s="353"/>
      <c r="AIY21" s="353"/>
      <c r="AIZ21" s="353"/>
      <c r="AJA21" s="353"/>
      <c r="AJB21" s="353"/>
      <c r="AJC21" s="353"/>
      <c r="AJD21" s="353"/>
      <c r="AJE21" s="353"/>
      <c r="AJF21" s="353"/>
      <c r="AJG21" s="353"/>
      <c r="AJH21" s="353"/>
      <c r="AJI21" s="353"/>
      <c r="AJJ21" s="353"/>
      <c r="AJK21" s="353"/>
      <c r="AJL21" s="353"/>
      <c r="AJM21" s="353"/>
      <c r="AJN21" s="353"/>
      <c r="AJO21" s="353"/>
      <c r="AJP21" s="353"/>
      <c r="AJQ21" s="353"/>
      <c r="AJR21" s="353"/>
      <c r="AJS21" s="353"/>
      <c r="AJT21" s="353"/>
      <c r="AJU21" s="353"/>
      <c r="AJV21" s="353"/>
      <c r="AJW21" s="353"/>
      <c r="AJX21" s="353"/>
      <c r="AJY21" s="353"/>
      <c r="AJZ21" s="353"/>
      <c r="AKA21" s="353"/>
      <c r="AKB21" s="353"/>
      <c r="AKC21" s="353"/>
      <c r="AKD21" s="353"/>
      <c r="AKE21" s="353"/>
      <c r="AKF21" s="353"/>
      <c r="AKG21" s="353"/>
      <c r="AKH21" s="353"/>
      <c r="AKI21" s="353"/>
      <c r="AKJ21" s="353"/>
      <c r="AKK21" s="353"/>
      <c r="AKL21" s="353"/>
      <c r="AKM21" s="353"/>
      <c r="AKN21" s="353"/>
      <c r="AKO21" s="353"/>
      <c r="AKP21" s="353"/>
      <c r="AKQ21" s="353"/>
      <c r="AKR21" s="353"/>
      <c r="AKS21" s="353"/>
      <c r="AKT21" s="353"/>
      <c r="AKU21" s="353"/>
      <c r="AKV21" s="353"/>
      <c r="AKW21" s="353"/>
      <c r="AKX21" s="353"/>
      <c r="AKY21" s="353"/>
      <c r="AKZ21" s="353"/>
      <c r="ALA21" s="353"/>
      <c r="ALB21" s="353"/>
      <c r="ALC21" s="353"/>
      <c r="ALD21" s="353"/>
      <c r="ALE21" s="353"/>
      <c r="ALF21" s="353"/>
      <c r="ALG21" s="353"/>
      <c r="ALH21" s="353"/>
      <c r="ALI21" s="353"/>
      <c r="ALJ21" s="353"/>
      <c r="ALK21" s="353"/>
      <c r="ALL21" s="353"/>
      <c r="ALM21" s="353"/>
      <c r="ALN21" s="353"/>
      <c r="ALO21" s="353"/>
      <c r="ALP21" s="353"/>
      <c r="ALQ21" s="353"/>
      <c r="ALR21" s="353"/>
      <c r="ALS21" s="353"/>
      <c r="ALT21" s="353"/>
      <c r="ALU21" s="353"/>
      <c r="ALV21" s="353"/>
      <c r="ALW21" s="353"/>
      <c r="ALX21" s="353"/>
      <c r="ALY21" s="353"/>
      <c r="ALZ21" s="353"/>
      <c r="AMA21" s="353"/>
      <c r="AMB21" s="353"/>
      <c r="AMC21" s="353"/>
      <c r="AMD21" s="353"/>
      <c r="AME21" s="353"/>
      <c r="AMF21" s="353"/>
      <c r="AMG21" s="353"/>
      <c r="AMH21" s="353"/>
      <c r="AMI21" s="353"/>
      <c r="AMJ21" s="353"/>
      <c r="AMK21" s="353"/>
      <c r="AML21" s="353"/>
      <c r="AMM21" s="353"/>
      <c r="AMN21" s="353"/>
      <c r="AMO21" s="353"/>
      <c r="AMP21" s="353"/>
    </row>
    <row r="22" spans="2:1030" s="354" customFormat="1" ht="12.75" x14ac:dyDescent="0.2">
      <c r="B22" s="404">
        <f t="shared" si="13"/>
        <v>9</v>
      </c>
      <c r="C22" s="405" t="s">
        <v>303</v>
      </c>
      <c r="D22" s="406" t="s">
        <v>303</v>
      </c>
      <c r="E22" s="406" t="s">
        <v>304</v>
      </c>
      <c r="F22" s="407" t="s">
        <v>305</v>
      </c>
      <c r="G22" s="407" t="s">
        <v>306</v>
      </c>
      <c r="H22" s="408" t="s">
        <v>22</v>
      </c>
      <c r="I22" s="408" t="s">
        <v>21</v>
      </c>
      <c r="J22" s="408" t="s">
        <v>35</v>
      </c>
      <c r="K22" s="408" t="s">
        <v>35</v>
      </c>
      <c r="L22" s="408" t="s">
        <v>35</v>
      </c>
      <c r="M22" s="408" t="s">
        <v>37</v>
      </c>
      <c r="N22" s="409">
        <v>30494116.760000002</v>
      </c>
      <c r="O22" s="409">
        <v>0</v>
      </c>
      <c r="P22" s="409">
        <v>132452.43010111802</v>
      </c>
      <c r="Q22" s="409">
        <f t="shared" si="4"/>
        <v>0</v>
      </c>
      <c r="R22" s="409">
        <f t="shared" si="5"/>
        <v>30494116.760000002</v>
      </c>
      <c r="S22" s="410">
        <f t="shared" si="6"/>
        <v>24878567.906571291</v>
      </c>
      <c r="T22" s="409">
        <f t="shared" si="7"/>
        <v>24878567.906571291</v>
      </c>
      <c r="U22" s="411">
        <f t="shared" si="8"/>
        <v>8739841</v>
      </c>
      <c r="V22" s="411">
        <f t="shared" si="9"/>
        <v>5615548.8534287103</v>
      </c>
      <c r="W22" s="412">
        <v>0</v>
      </c>
      <c r="X22" s="412">
        <v>0</v>
      </c>
      <c r="Y22" s="411">
        <f t="shared" si="10"/>
        <v>24878567.91</v>
      </c>
      <c r="Z22" s="411">
        <f t="shared" si="10"/>
        <v>8739841</v>
      </c>
      <c r="AA22" s="411">
        <f t="shared" si="11"/>
        <v>24878567.91</v>
      </c>
      <c r="AB22" s="383"/>
      <c r="AC22" s="413"/>
      <c r="AD22" s="413" t="str">
        <f t="shared" si="12"/>
        <v/>
      </c>
      <c r="AE22" s="414" t="str">
        <f>IF($AD22="","",COUNTIFS($AD$14:AD22,"Yes"))</f>
        <v/>
      </c>
      <c r="AF22" s="413" t="b">
        <f>IF(C22="", "", AND(INDEX('Summary Dynamic'!$D$8:$D$10, MATCH(H22, 'Summary Dynamic'!$C$8:$C$10, 0))="Include", INDEX('Summary Dynamic'!$D$12:$D$14, MATCH(I22, 'Summary Dynamic'!$C$12:$C$14, 0))="Include", INDEX('Summary Dynamic'!$D$16:$D$17, MATCH(J22, 'Summary Dynamic'!$C$16:$C$17, 0))="Include", INDEX('Summary Dynamic'!$D$19:$D$20, MATCH(K22, 'Summary Dynamic'!$C$19:$C$20, 0))="Include", INDEX('Summary Dynamic'!$D$22:$D$23, MATCH(L22, 'Summary Dynamic'!$C$22:$C$23, 0))="Include", INDEX('Summary Dynamic'!$D$25:$D$26, MATCH(M22, 'Summary Dynamic'!$C$25:$C$26, 0))="Include"))</f>
        <v>1</v>
      </c>
      <c r="AG22" s="414">
        <f>IFERROR(IF(C22="", "", IF(AF22=TRUE, COUNTIFS($AF$14:AF22, TRUE), "n/a")), "n/a")</f>
        <v>9</v>
      </c>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c r="ED22" s="353"/>
      <c r="EE22" s="353"/>
      <c r="EF22" s="353"/>
      <c r="EG22" s="353"/>
      <c r="EH22" s="353"/>
      <c r="EI22" s="353"/>
      <c r="EJ22" s="353"/>
      <c r="EK22" s="353"/>
      <c r="EL22" s="353"/>
      <c r="EM22" s="353"/>
      <c r="EN22" s="353"/>
      <c r="EO22" s="353"/>
      <c r="EP22" s="353"/>
      <c r="EQ22" s="353"/>
      <c r="ER22" s="353"/>
      <c r="ES22" s="353"/>
      <c r="ET22" s="353"/>
      <c r="EU22" s="353"/>
      <c r="EV22" s="353"/>
      <c r="EW22" s="353"/>
      <c r="EX22" s="353"/>
      <c r="EY22" s="353"/>
      <c r="EZ22" s="353"/>
      <c r="FA22" s="353"/>
      <c r="FB22" s="353"/>
      <c r="FC22" s="353"/>
      <c r="FD22" s="353"/>
      <c r="FE22" s="353"/>
      <c r="FF22" s="353"/>
      <c r="FG22" s="353"/>
      <c r="FH22" s="353"/>
      <c r="FI22" s="353"/>
      <c r="FJ22" s="353"/>
      <c r="FK22" s="353"/>
      <c r="FL22" s="353"/>
      <c r="FM22" s="353"/>
      <c r="FN22" s="353"/>
      <c r="FO22" s="353"/>
      <c r="FP22" s="353"/>
      <c r="FQ22" s="353"/>
      <c r="FR22" s="353"/>
      <c r="FS22" s="353"/>
      <c r="FT22" s="353"/>
      <c r="FU22" s="353"/>
      <c r="FV22" s="353"/>
      <c r="FW22" s="353"/>
      <c r="FX22" s="353"/>
      <c r="FY22" s="353"/>
      <c r="FZ22" s="353"/>
      <c r="GA22" s="353"/>
      <c r="GB22" s="353"/>
      <c r="GC22" s="353"/>
      <c r="GD22" s="353"/>
      <c r="GE22" s="353"/>
      <c r="GF22" s="353"/>
      <c r="GG22" s="353"/>
      <c r="GH22" s="353"/>
      <c r="GI22" s="353"/>
      <c r="GJ22" s="353"/>
      <c r="GK22" s="353"/>
      <c r="GL22" s="353"/>
      <c r="GM22" s="353"/>
      <c r="GN22" s="353"/>
      <c r="GO22" s="353"/>
      <c r="GP22" s="353"/>
      <c r="GQ22" s="353"/>
      <c r="GR22" s="353"/>
      <c r="GS22" s="353"/>
      <c r="GT22" s="353"/>
      <c r="GU22" s="353"/>
      <c r="GV22" s="353"/>
      <c r="GW22" s="353"/>
      <c r="GX22" s="353"/>
      <c r="GY22" s="353"/>
      <c r="GZ22" s="353"/>
      <c r="HA22" s="353"/>
      <c r="HB22" s="353"/>
      <c r="HC22" s="353"/>
      <c r="HD22" s="353"/>
      <c r="HE22" s="353"/>
      <c r="HF22" s="353"/>
      <c r="HG22" s="353"/>
      <c r="HH22" s="353"/>
      <c r="HI22" s="353"/>
      <c r="HJ22" s="353"/>
      <c r="HK22" s="353"/>
      <c r="HL22" s="353"/>
      <c r="HM22" s="353"/>
      <c r="HN22" s="353"/>
      <c r="HO22" s="353"/>
      <c r="HP22" s="353"/>
      <c r="HQ22" s="353"/>
      <c r="HR22" s="353"/>
      <c r="HS22" s="353"/>
      <c r="HT22" s="353"/>
      <c r="HU22" s="353"/>
      <c r="HV22" s="353"/>
      <c r="HW22" s="353"/>
      <c r="HX22" s="353"/>
      <c r="HY22" s="353"/>
      <c r="HZ22" s="353"/>
      <c r="IA22" s="353"/>
      <c r="IB22" s="353"/>
      <c r="IC22" s="353"/>
      <c r="ID22" s="353"/>
      <c r="IE22" s="353"/>
      <c r="IF22" s="353"/>
      <c r="IG22" s="353"/>
      <c r="IH22" s="353"/>
      <c r="II22" s="353"/>
      <c r="IJ22" s="353"/>
      <c r="IK22" s="353"/>
      <c r="IL22" s="353"/>
      <c r="IM22" s="353"/>
      <c r="IN22" s="353"/>
      <c r="IO22" s="353"/>
      <c r="IP22" s="353"/>
      <c r="IQ22" s="353"/>
      <c r="IR22" s="353"/>
      <c r="IS22" s="353"/>
      <c r="IT22" s="353"/>
      <c r="IU22" s="353"/>
      <c r="IV22" s="353"/>
      <c r="IW22" s="353"/>
      <c r="IX22" s="353"/>
      <c r="IY22" s="353"/>
      <c r="IZ22" s="353"/>
      <c r="JA22" s="353"/>
      <c r="JB22" s="353"/>
      <c r="JC22" s="353"/>
      <c r="JD22" s="353"/>
      <c r="JE22" s="353"/>
      <c r="JF22" s="353"/>
      <c r="JG22" s="353"/>
      <c r="JH22" s="353"/>
      <c r="JI22" s="353"/>
      <c r="JJ22" s="353"/>
      <c r="JK22" s="353"/>
      <c r="JL22" s="353"/>
      <c r="JM22" s="353"/>
      <c r="JN22" s="353"/>
      <c r="JO22" s="353"/>
      <c r="JP22" s="353"/>
      <c r="JQ22" s="353"/>
      <c r="JR22" s="353"/>
      <c r="JS22" s="353"/>
      <c r="JT22" s="353"/>
      <c r="JU22" s="353"/>
      <c r="JV22" s="353"/>
      <c r="JW22" s="353"/>
      <c r="JX22" s="353"/>
      <c r="JY22" s="353"/>
      <c r="JZ22" s="353"/>
      <c r="KA22" s="353"/>
      <c r="KB22" s="353"/>
      <c r="KC22" s="353"/>
      <c r="KD22" s="353"/>
      <c r="KE22" s="353"/>
      <c r="KF22" s="353"/>
      <c r="KG22" s="353"/>
      <c r="KH22" s="353"/>
      <c r="KI22" s="353"/>
      <c r="KJ22" s="353"/>
      <c r="KK22" s="353"/>
      <c r="KL22" s="353"/>
      <c r="KM22" s="353"/>
      <c r="KN22" s="353"/>
      <c r="KO22" s="353"/>
      <c r="KP22" s="353"/>
      <c r="KQ22" s="353"/>
      <c r="KR22" s="353"/>
      <c r="KS22" s="353"/>
      <c r="KT22" s="353"/>
      <c r="KU22" s="353"/>
      <c r="KV22" s="353"/>
      <c r="KW22" s="353"/>
      <c r="KX22" s="353"/>
      <c r="KY22" s="353"/>
      <c r="KZ22" s="353"/>
      <c r="LA22" s="353"/>
      <c r="LB22" s="353"/>
      <c r="LC22" s="353"/>
      <c r="LD22" s="353"/>
      <c r="LE22" s="353"/>
      <c r="LF22" s="353"/>
      <c r="LG22" s="353"/>
      <c r="LH22" s="353"/>
      <c r="LI22" s="353"/>
      <c r="LJ22" s="353"/>
      <c r="LK22" s="353"/>
      <c r="LL22" s="353"/>
      <c r="LM22" s="353"/>
      <c r="LN22" s="353"/>
      <c r="LO22" s="353"/>
      <c r="LP22" s="353"/>
      <c r="LQ22" s="353"/>
      <c r="LR22" s="353"/>
      <c r="LS22" s="353"/>
      <c r="LT22" s="353"/>
      <c r="LU22" s="353"/>
      <c r="LV22" s="353"/>
      <c r="LW22" s="353"/>
      <c r="LX22" s="353"/>
      <c r="LY22" s="353"/>
      <c r="LZ22" s="353"/>
      <c r="MA22" s="353"/>
      <c r="MB22" s="353"/>
      <c r="MC22" s="353"/>
      <c r="MD22" s="353"/>
      <c r="ME22" s="353"/>
      <c r="MF22" s="353"/>
      <c r="MG22" s="353"/>
      <c r="MH22" s="353"/>
      <c r="MI22" s="353"/>
      <c r="MJ22" s="353"/>
      <c r="MK22" s="353"/>
      <c r="ML22" s="353"/>
      <c r="MM22" s="353"/>
      <c r="MN22" s="353"/>
      <c r="MO22" s="353"/>
      <c r="MP22" s="353"/>
      <c r="MQ22" s="353"/>
      <c r="MR22" s="353"/>
      <c r="MS22" s="353"/>
      <c r="MT22" s="353"/>
      <c r="MU22" s="353"/>
      <c r="MV22" s="353"/>
      <c r="MW22" s="353"/>
      <c r="MX22" s="353"/>
      <c r="MY22" s="353"/>
      <c r="MZ22" s="353"/>
      <c r="NA22" s="353"/>
      <c r="NB22" s="353"/>
      <c r="NC22" s="353"/>
      <c r="ND22" s="353"/>
      <c r="NE22" s="353"/>
      <c r="NF22" s="353"/>
      <c r="NG22" s="353"/>
      <c r="NH22" s="353"/>
      <c r="NI22" s="353"/>
      <c r="NJ22" s="353"/>
      <c r="NK22" s="353"/>
      <c r="NL22" s="353"/>
      <c r="NM22" s="353"/>
      <c r="NN22" s="353"/>
      <c r="NO22" s="353"/>
      <c r="NP22" s="353"/>
      <c r="NQ22" s="353"/>
      <c r="NR22" s="353"/>
      <c r="NS22" s="353"/>
      <c r="NT22" s="353"/>
      <c r="NU22" s="353"/>
      <c r="NV22" s="353"/>
      <c r="NW22" s="353"/>
      <c r="NX22" s="353"/>
      <c r="NY22" s="353"/>
      <c r="NZ22" s="353"/>
      <c r="OA22" s="353"/>
      <c r="OB22" s="353"/>
      <c r="OC22" s="353"/>
      <c r="OD22" s="353"/>
      <c r="OE22" s="353"/>
      <c r="OF22" s="353"/>
      <c r="OG22" s="353"/>
      <c r="OH22" s="353"/>
      <c r="OI22" s="353"/>
      <c r="OJ22" s="353"/>
      <c r="OK22" s="353"/>
      <c r="OL22" s="353"/>
      <c r="OM22" s="353"/>
      <c r="ON22" s="353"/>
      <c r="OO22" s="353"/>
      <c r="OP22" s="353"/>
      <c r="OQ22" s="353"/>
      <c r="OR22" s="353"/>
      <c r="OS22" s="353"/>
      <c r="OT22" s="353"/>
      <c r="OU22" s="353"/>
      <c r="OV22" s="353"/>
      <c r="OW22" s="353"/>
      <c r="OX22" s="353"/>
      <c r="OY22" s="353"/>
      <c r="OZ22" s="353"/>
      <c r="PA22" s="353"/>
      <c r="PB22" s="353"/>
      <c r="PC22" s="353"/>
      <c r="PD22" s="353"/>
      <c r="PE22" s="353"/>
      <c r="PF22" s="353"/>
      <c r="PG22" s="353"/>
      <c r="PH22" s="353"/>
      <c r="PI22" s="353"/>
      <c r="PJ22" s="353"/>
      <c r="PK22" s="353"/>
      <c r="PL22" s="353"/>
      <c r="PM22" s="353"/>
      <c r="PN22" s="353"/>
      <c r="PO22" s="353"/>
      <c r="PP22" s="353"/>
      <c r="PQ22" s="353"/>
      <c r="PR22" s="353"/>
      <c r="PS22" s="353"/>
      <c r="PT22" s="353"/>
      <c r="PU22" s="353"/>
      <c r="PV22" s="353"/>
      <c r="PW22" s="353"/>
      <c r="PX22" s="353"/>
      <c r="PY22" s="353"/>
      <c r="PZ22" s="353"/>
      <c r="QA22" s="353"/>
      <c r="QB22" s="353"/>
      <c r="QC22" s="353"/>
      <c r="QD22" s="353"/>
      <c r="QE22" s="353"/>
      <c r="QF22" s="353"/>
      <c r="QG22" s="353"/>
      <c r="QH22" s="353"/>
      <c r="QI22" s="353"/>
      <c r="QJ22" s="353"/>
      <c r="QK22" s="353"/>
      <c r="QL22" s="353"/>
      <c r="QM22" s="353"/>
      <c r="QN22" s="353"/>
      <c r="QO22" s="353"/>
      <c r="QP22" s="353"/>
      <c r="QQ22" s="353"/>
      <c r="QR22" s="353"/>
      <c r="QS22" s="353"/>
      <c r="QT22" s="353"/>
      <c r="QU22" s="353"/>
      <c r="QV22" s="353"/>
      <c r="QW22" s="353"/>
      <c r="QX22" s="353"/>
      <c r="QY22" s="353"/>
      <c r="QZ22" s="353"/>
      <c r="RA22" s="353"/>
      <c r="RB22" s="353"/>
      <c r="RC22" s="353"/>
      <c r="RD22" s="353"/>
      <c r="RE22" s="353"/>
      <c r="RF22" s="353"/>
      <c r="RG22" s="353"/>
      <c r="RH22" s="353"/>
      <c r="RI22" s="353"/>
      <c r="RJ22" s="353"/>
      <c r="RK22" s="353"/>
      <c r="RL22" s="353"/>
      <c r="RM22" s="353"/>
      <c r="RN22" s="353"/>
      <c r="RO22" s="353"/>
      <c r="RP22" s="353"/>
      <c r="RQ22" s="353"/>
      <c r="RR22" s="353"/>
      <c r="RS22" s="353"/>
      <c r="RT22" s="353"/>
      <c r="RU22" s="353"/>
      <c r="RV22" s="353"/>
      <c r="RW22" s="353"/>
      <c r="RX22" s="353"/>
      <c r="RY22" s="353"/>
      <c r="RZ22" s="353"/>
      <c r="SA22" s="353"/>
      <c r="SB22" s="353"/>
      <c r="SC22" s="353"/>
      <c r="SD22" s="353"/>
      <c r="SE22" s="353"/>
      <c r="SF22" s="353"/>
      <c r="SG22" s="353"/>
      <c r="SH22" s="353"/>
      <c r="SI22" s="353"/>
      <c r="SJ22" s="353"/>
      <c r="SK22" s="353"/>
      <c r="SL22" s="353"/>
      <c r="SM22" s="353"/>
      <c r="SN22" s="353"/>
      <c r="SO22" s="353"/>
      <c r="SP22" s="353"/>
      <c r="SQ22" s="353"/>
      <c r="SR22" s="353"/>
      <c r="SS22" s="353"/>
      <c r="ST22" s="353"/>
      <c r="SU22" s="353"/>
      <c r="SV22" s="353"/>
      <c r="SW22" s="353"/>
      <c r="SX22" s="353"/>
      <c r="SY22" s="353"/>
      <c r="SZ22" s="353"/>
      <c r="TA22" s="353"/>
      <c r="TB22" s="353"/>
      <c r="TC22" s="353"/>
      <c r="TD22" s="353"/>
      <c r="TE22" s="353"/>
      <c r="TF22" s="353"/>
      <c r="TG22" s="353"/>
      <c r="TH22" s="353"/>
      <c r="TI22" s="353"/>
      <c r="TJ22" s="353"/>
      <c r="TK22" s="353"/>
      <c r="TL22" s="353"/>
      <c r="TM22" s="353"/>
      <c r="TN22" s="353"/>
      <c r="TO22" s="353"/>
      <c r="TP22" s="353"/>
      <c r="TQ22" s="353"/>
      <c r="TR22" s="353"/>
      <c r="TS22" s="353"/>
      <c r="TT22" s="353"/>
      <c r="TU22" s="353"/>
      <c r="TV22" s="353"/>
      <c r="TW22" s="353"/>
      <c r="TX22" s="353"/>
      <c r="TY22" s="353"/>
      <c r="TZ22" s="353"/>
      <c r="UA22" s="353"/>
      <c r="UB22" s="353"/>
      <c r="UC22" s="353"/>
      <c r="UD22" s="353"/>
      <c r="UE22" s="353"/>
      <c r="UF22" s="353"/>
      <c r="UG22" s="353"/>
      <c r="UH22" s="353"/>
      <c r="UI22" s="353"/>
      <c r="UJ22" s="353"/>
      <c r="UK22" s="353"/>
      <c r="UL22" s="353"/>
      <c r="UM22" s="353"/>
      <c r="UN22" s="353"/>
      <c r="UO22" s="353"/>
      <c r="UP22" s="353"/>
      <c r="UQ22" s="353"/>
      <c r="UR22" s="353"/>
      <c r="US22" s="353"/>
      <c r="UT22" s="353"/>
      <c r="UU22" s="353"/>
      <c r="UV22" s="353"/>
      <c r="UW22" s="353"/>
      <c r="UX22" s="353"/>
      <c r="UY22" s="353"/>
      <c r="UZ22" s="353"/>
      <c r="VA22" s="353"/>
      <c r="VB22" s="353"/>
      <c r="VC22" s="353"/>
      <c r="VD22" s="353"/>
      <c r="VE22" s="353"/>
      <c r="VF22" s="353"/>
      <c r="VG22" s="353"/>
      <c r="VH22" s="353"/>
      <c r="VI22" s="353"/>
      <c r="VJ22" s="353"/>
      <c r="VK22" s="353"/>
      <c r="VL22" s="353"/>
      <c r="VM22" s="353"/>
      <c r="VN22" s="353"/>
      <c r="VO22" s="353"/>
      <c r="VP22" s="353"/>
      <c r="VQ22" s="353"/>
      <c r="VR22" s="353"/>
      <c r="VS22" s="353"/>
      <c r="VT22" s="353"/>
      <c r="VU22" s="353"/>
      <c r="VV22" s="353"/>
      <c r="VW22" s="353"/>
      <c r="VX22" s="353"/>
      <c r="VY22" s="353"/>
      <c r="VZ22" s="353"/>
      <c r="WA22" s="353"/>
      <c r="WB22" s="353"/>
      <c r="WC22" s="353"/>
      <c r="WD22" s="353"/>
      <c r="WE22" s="353"/>
      <c r="WF22" s="353"/>
      <c r="WG22" s="353"/>
      <c r="WH22" s="353"/>
      <c r="WI22" s="353"/>
      <c r="WJ22" s="353"/>
      <c r="WK22" s="353"/>
      <c r="WL22" s="353"/>
      <c r="WM22" s="353"/>
      <c r="WN22" s="353"/>
      <c r="WO22" s="353"/>
      <c r="WP22" s="353"/>
      <c r="WQ22" s="353"/>
      <c r="WR22" s="353"/>
      <c r="WS22" s="353"/>
      <c r="WT22" s="353"/>
      <c r="WU22" s="353"/>
      <c r="WV22" s="353"/>
      <c r="WW22" s="353"/>
      <c r="WX22" s="353"/>
      <c r="WY22" s="353"/>
      <c r="WZ22" s="353"/>
      <c r="XA22" s="353"/>
      <c r="XB22" s="353"/>
      <c r="XC22" s="353"/>
      <c r="XD22" s="353"/>
      <c r="XE22" s="353"/>
      <c r="XF22" s="353"/>
      <c r="XG22" s="353"/>
      <c r="XH22" s="353"/>
      <c r="XI22" s="353"/>
      <c r="XJ22" s="353"/>
      <c r="XK22" s="353"/>
      <c r="XL22" s="353"/>
      <c r="XM22" s="353"/>
      <c r="XN22" s="353"/>
      <c r="XO22" s="353"/>
      <c r="XP22" s="353"/>
      <c r="XQ22" s="353"/>
      <c r="XR22" s="353"/>
      <c r="XS22" s="353"/>
      <c r="XT22" s="353"/>
      <c r="XU22" s="353"/>
      <c r="XV22" s="353"/>
      <c r="XW22" s="353"/>
      <c r="XX22" s="353"/>
      <c r="XY22" s="353"/>
      <c r="XZ22" s="353"/>
      <c r="YA22" s="353"/>
      <c r="YB22" s="353"/>
      <c r="YC22" s="353"/>
      <c r="YD22" s="353"/>
      <c r="YE22" s="353"/>
      <c r="YF22" s="353"/>
      <c r="YG22" s="353"/>
      <c r="YH22" s="353"/>
      <c r="YI22" s="353"/>
      <c r="YJ22" s="353"/>
      <c r="YK22" s="353"/>
      <c r="YL22" s="353"/>
      <c r="YM22" s="353"/>
      <c r="YN22" s="353"/>
      <c r="YO22" s="353"/>
      <c r="YP22" s="353"/>
      <c r="YQ22" s="353"/>
      <c r="YR22" s="353"/>
      <c r="YS22" s="353"/>
      <c r="YT22" s="353"/>
      <c r="YU22" s="353"/>
      <c r="YV22" s="353"/>
      <c r="YW22" s="353"/>
      <c r="YX22" s="353"/>
      <c r="YY22" s="353"/>
      <c r="YZ22" s="353"/>
      <c r="ZA22" s="353"/>
      <c r="ZB22" s="353"/>
      <c r="ZC22" s="353"/>
      <c r="ZD22" s="353"/>
      <c r="ZE22" s="353"/>
      <c r="ZF22" s="353"/>
      <c r="ZG22" s="353"/>
      <c r="ZH22" s="353"/>
      <c r="ZI22" s="353"/>
      <c r="ZJ22" s="353"/>
      <c r="ZK22" s="353"/>
      <c r="ZL22" s="353"/>
      <c r="ZM22" s="353"/>
      <c r="ZN22" s="353"/>
      <c r="ZO22" s="353"/>
      <c r="ZP22" s="353"/>
      <c r="ZQ22" s="353"/>
      <c r="ZR22" s="353"/>
      <c r="ZS22" s="353"/>
      <c r="ZT22" s="353"/>
      <c r="ZU22" s="353"/>
      <c r="ZV22" s="353"/>
      <c r="ZW22" s="353"/>
      <c r="ZX22" s="353"/>
      <c r="ZY22" s="353"/>
      <c r="ZZ22" s="353"/>
      <c r="AAA22" s="353"/>
      <c r="AAB22" s="353"/>
      <c r="AAC22" s="353"/>
      <c r="AAD22" s="353"/>
      <c r="AAE22" s="353"/>
      <c r="AAF22" s="353"/>
      <c r="AAG22" s="353"/>
      <c r="AAH22" s="353"/>
      <c r="AAI22" s="353"/>
      <c r="AAJ22" s="353"/>
      <c r="AAK22" s="353"/>
      <c r="AAL22" s="353"/>
      <c r="AAM22" s="353"/>
      <c r="AAN22" s="353"/>
      <c r="AAO22" s="353"/>
      <c r="AAP22" s="353"/>
      <c r="AAQ22" s="353"/>
      <c r="AAR22" s="353"/>
      <c r="AAS22" s="353"/>
      <c r="AAT22" s="353"/>
      <c r="AAU22" s="353"/>
      <c r="AAV22" s="353"/>
      <c r="AAW22" s="353"/>
      <c r="AAX22" s="353"/>
      <c r="AAY22" s="353"/>
      <c r="AAZ22" s="353"/>
      <c r="ABA22" s="353"/>
      <c r="ABB22" s="353"/>
      <c r="ABC22" s="353"/>
      <c r="ABD22" s="353"/>
      <c r="ABE22" s="353"/>
      <c r="ABF22" s="353"/>
      <c r="ABG22" s="353"/>
      <c r="ABH22" s="353"/>
      <c r="ABI22" s="353"/>
      <c r="ABJ22" s="353"/>
      <c r="ABK22" s="353"/>
      <c r="ABL22" s="353"/>
      <c r="ABM22" s="353"/>
      <c r="ABN22" s="353"/>
      <c r="ABO22" s="353"/>
      <c r="ABP22" s="353"/>
      <c r="ABQ22" s="353"/>
      <c r="ABR22" s="353"/>
      <c r="ABS22" s="353"/>
      <c r="ABT22" s="353"/>
      <c r="ABU22" s="353"/>
      <c r="ABV22" s="353"/>
      <c r="ABW22" s="353"/>
      <c r="ABX22" s="353"/>
      <c r="ABY22" s="353"/>
      <c r="ABZ22" s="353"/>
      <c r="ACA22" s="353"/>
      <c r="ACB22" s="353"/>
      <c r="ACC22" s="353"/>
      <c r="ACD22" s="353"/>
      <c r="ACE22" s="353"/>
      <c r="ACF22" s="353"/>
      <c r="ACG22" s="353"/>
      <c r="ACH22" s="353"/>
      <c r="ACI22" s="353"/>
      <c r="ACJ22" s="353"/>
      <c r="ACK22" s="353"/>
      <c r="ACL22" s="353"/>
      <c r="ACM22" s="353"/>
      <c r="ACN22" s="353"/>
      <c r="ACO22" s="353"/>
      <c r="ACP22" s="353"/>
      <c r="ACQ22" s="353"/>
      <c r="ACR22" s="353"/>
      <c r="ACS22" s="353"/>
      <c r="ACT22" s="353"/>
      <c r="ACU22" s="353"/>
      <c r="ACV22" s="353"/>
      <c r="ACW22" s="353"/>
      <c r="ACX22" s="353"/>
      <c r="ACY22" s="353"/>
      <c r="ACZ22" s="353"/>
      <c r="ADA22" s="353"/>
      <c r="ADB22" s="353"/>
      <c r="ADC22" s="353"/>
      <c r="ADD22" s="353"/>
      <c r="ADE22" s="353"/>
      <c r="ADF22" s="353"/>
      <c r="ADG22" s="353"/>
      <c r="ADH22" s="353"/>
      <c r="ADI22" s="353"/>
      <c r="ADJ22" s="353"/>
      <c r="ADK22" s="353"/>
      <c r="ADL22" s="353"/>
      <c r="ADM22" s="353"/>
      <c r="ADN22" s="353"/>
      <c r="ADO22" s="353"/>
      <c r="ADP22" s="353"/>
      <c r="ADQ22" s="353"/>
      <c r="ADR22" s="353"/>
      <c r="ADS22" s="353"/>
      <c r="ADT22" s="353"/>
      <c r="ADU22" s="353"/>
      <c r="ADV22" s="353"/>
      <c r="ADW22" s="353"/>
      <c r="ADX22" s="353"/>
      <c r="ADY22" s="353"/>
      <c r="ADZ22" s="353"/>
      <c r="AEA22" s="353"/>
      <c r="AEB22" s="353"/>
      <c r="AEC22" s="353"/>
      <c r="AED22" s="353"/>
      <c r="AEE22" s="353"/>
      <c r="AEF22" s="353"/>
      <c r="AEG22" s="353"/>
      <c r="AEH22" s="353"/>
      <c r="AEI22" s="353"/>
      <c r="AEJ22" s="353"/>
      <c r="AEK22" s="353"/>
      <c r="AEL22" s="353"/>
      <c r="AEM22" s="353"/>
      <c r="AEN22" s="353"/>
      <c r="AEO22" s="353"/>
      <c r="AEP22" s="353"/>
      <c r="AEQ22" s="353"/>
      <c r="AER22" s="353"/>
      <c r="AES22" s="353"/>
      <c r="AET22" s="353"/>
      <c r="AEU22" s="353"/>
      <c r="AEV22" s="353"/>
      <c r="AEW22" s="353"/>
      <c r="AEX22" s="353"/>
      <c r="AEY22" s="353"/>
      <c r="AEZ22" s="353"/>
      <c r="AFA22" s="353"/>
      <c r="AFB22" s="353"/>
      <c r="AFC22" s="353"/>
      <c r="AFD22" s="353"/>
      <c r="AFE22" s="353"/>
      <c r="AFF22" s="353"/>
      <c r="AFG22" s="353"/>
      <c r="AFH22" s="353"/>
      <c r="AFI22" s="353"/>
      <c r="AFJ22" s="353"/>
      <c r="AFK22" s="353"/>
      <c r="AFL22" s="353"/>
      <c r="AFM22" s="353"/>
      <c r="AFN22" s="353"/>
      <c r="AFO22" s="353"/>
      <c r="AFP22" s="353"/>
      <c r="AFQ22" s="353"/>
      <c r="AFR22" s="353"/>
      <c r="AFS22" s="353"/>
      <c r="AFT22" s="353"/>
      <c r="AFU22" s="353"/>
      <c r="AFV22" s="353"/>
      <c r="AFW22" s="353"/>
      <c r="AFX22" s="353"/>
      <c r="AFY22" s="353"/>
      <c r="AFZ22" s="353"/>
      <c r="AGA22" s="353"/>
      <c r="AGB22" s="353"/>
      <c r="AGC22" s="353"/>
      <c r="AGD22" s="353"/>
      <c r="AGE22" s="353"/>
      <c r="AGF22" s="353"/>
      <c r="AGG22" s="353"/>
      <c r="AGH22" s="353"/>
      <c r="AGI22" s="353"/>
      <c r="AGJ22" s="353"/>
      <c r="AGK22" s="353"/>
      <c r="AGL22" s="353"/>
      <c r="AGM22" s="353"/>
      <c r="AGN22" s="353"/>
      <c r="AGO22" s="353"/>
      <c r="AGP22" s="353"/>
      <c r="AGQ22" s="353"/>
      <c r="AGR22" s="353"/>
      <c r="AGS22" s="353"/>
      <c r="AGT22" s="353"/>
      <c r="AGU22" s="353"/>
      <c r="AGV22" s="353"/>
      <c r="AGW22" s="353"/>
      <c r="AGX22" s="353"/>
      <c r="AGY22" s="353"/>
      <c r="AGZ22" s="353"/>
      <c r="AHA22" s="353"/>
      <c r="AHB22" s="353"/>
      <c r="AHC22" s="353"/>
      <c r="AHD22" s="353"/>
      <c r="AHE22" s="353"/>
      <c r="AHF22" s="353"/>
      <c r="AHG22" s="353"/>
      <c r="AHH22" s="353"/>
      <c r="AHI22" s="353"/>
      <c r="AHJ22" s="353"/>
      <c r="AHK22" s="353"/>
      <c r="AHL22" s="353"/>
      <c r="AHM22" s="353"/>
      <c r="AHN22" s="353"/>
      <c r="AHO22" s="353"/>
      <c r="AHP22" s="353"/>
      <c r="AHQ22" s="353"/>
      <c r="AHR22" s="353"/>
      <c r="AHS22" s="353"/>
      <c r="AHT22" s="353"/>
      <c r="AHU22" s="353"/>
      <c r="AHV22" s="353"/>
      <c r="AHW22" s="353"/>
      <c r="AHX22" s="353"/>
      <c r="AHY22" s="353"/>
      <c r="AHZ22" s="353"/>
      <c r="AIA22" s="353"/>
      <c r="AIB22" s="353"/>
      <c r="AIC22" s="353"/>
      <c r="AID22" s="353"/>
      <c r="AIE22" s="353"/>
      <c r="AIF22" s="353"/>
      <c r="AIG22" s="353"/>
      <c r="AIH22" s="353"/>
      <c r="AII22" s="353"/>
      <c r="AIJ22" s="353"/>
      <c r="AIK22" s="353"/>
      <c r="AIL22" s="353"/>
      <c r="AIM22" s="353"/>
      <c r="AIN22" s="353"/>
      <c r="AIO22" s="353"/>
      <c r="AIP22" s="353"/>
      <c r="AIQ22" s="353"/>
      <c r="AIR22" s="353"/>
      <c r="AIS22" s="353"/>
      <c r="AIT22" s="353"/>
      <c r="AIU22" s="353"/>
      <c r="AIV22" s="353"/>
      <c r="AIW22" s="353"/>
      <c r="AIX22" s="353"/>
      <c r="AIY22" s="353"/>
      <c r="AIZ22" s="353"/>
      <c r="AJA22" s="353"/>
      <c r="AJB22" s="353"/>
      <c r="AJC22" s="353"/>
      <c r="AJD22" s="353"/>
      <c r="AJE22" s="353"/>
      <c r="AJF22" s="353"/>
      <c r="AJG22" s="353"/>
      <c r="AJH22" s="353"/>
      <c r="AJI22" s="353"/>
      <c r="AJJ22" s="353"/>
      <c r="AJK22" s="353"/>
      <c r="AJL22" s="353"/>
      <c r="AJM22" s="353"/>
      <c r="AJN22" s="353"/>
      <c r="AJO22" s="353"/>
      <c r="AJP22" s="353"/>
      <c r="AJQ22" s="353"/>
      <c r="AJR22" s="353"/>
      <c r="AJS22" s="353"/>
      <c r="AJT22" s="353"/>
      <c r="AJU22" s="353"/>
      <c r="AJV22" s="353"/>
      <c r="AJW22" s="353"/>
      <c r="AJX22" s="353"/>
      <c r="AJY22" s="353"/>
      <c r="AJZ22" s="353"/>
      <c r="AKA22" s="353"/>
      <c r="AKB22" s="353"/>
      <c r="AKC22" s="353"/>
      <c r="AKD22" s="353"/>
      <c r="AKE22" s="353"/>
      <c r="AKF22" s="353"/>
      <c r="AKG22" s="353"/>
      <c r="AKH22" s="353"/>
      <c r="AKI22" s="353"/>
      <c r="AKJ22" s="353"/>
      <c r="AKK22" s="353"/>
      <c r="AKL22" s="353"/>
      <c r="AKM22" s="353"/>
      <c r="AKN22" s="353"/>
      <c r="AKO22" s="353"/>
      <c r="AKP22" s="353"/>
      <c r="AKQ22" s="353"/>
      <c r="AKR22" s="353"/>
      <c r="AKS22" s="353"/>
      <c r="AKT22" s="353"/>
      <c r="AKU22" s="353"/>
      <c r="AKV22" s="353"/>
      <c r="AKW22" s="353"/>
      <c r="AKX22" s="353"/>
      <c r="AKY22" s="353"/>
      <c r="AKZ22" s="353"/>
      <c r="ALA22" s="353"/>
      <c r="ALB22" s="353"/>
      <c r="ALC22" s="353"/>
      <c r="ALD22" s="353"/>
      <c r="ALE22" s="353"/>
      <c r="ALF22" s="353"/>
      <c r="ALG22" s="353"/>
      <c r="ALH22" s="353"/>
      <c r="ALI22" s="353"/>
      <c r="ALJ22" s="353"/>
      <c r="ALK22" s="353"/>
      <c r="ALL22" s="353"/>
      <c r="ALM22" s="353"/>
      <c r="ALN22" s="353"/>
      <c r="ALO22" s="353"/>
      <c r="ALP22" s="353"/>
      <c r="ALQ22" s="353"/>
      <c r="ALR22" s="353"/>
      <c r="ALS22" s="353"/>
      <c r="ALT22" s="353"/>
      <c r="ALU22" s="353"/>
      <c r="ALV22" s="353"/>
      <c r="ALW22" s="353"/>
      <c r="ALX22" s="353"/>
      <c r="ALY22" s="353"/>
      <c r="ALZ22" s="353"/>
      <c r="AMA22" s="353"/>
      <c r="AMB22" s="353"/>
      <c r="AMC22" s="353"/>
      <c r="AMD22" s="353"/>
      <c r="AME22" s="353"/>
      <c r="AMF22" s="353"/>
      <c r="AMG22" s="353"/>
      <c r="AMH22" s="353"/>
      <c r="AMI22" s="353"/>
      <c r="AMJ22" s="353"/>
      <c r="AMK22" s="353"/>
      <c r="AML22" s="353"/>
      <c r="AMM22" s="353"/>
      <c r="AMN22" s="353"/>
      <c r="AMO22" s="353"/>
      <c r="AMP22" s="353"/>
    </row>
    <row r="23" spans="2:1030" s="354" customFormat="1" ht="12.75" x14ac:dyDescent="0.2">
      <c r="B23" s="404">
        <f t="shared" si="13"/>
        <v>10</v>
      </c>
      <c r="C23" s="405" t="s">
        <v>307</v>
      </c>
      <c r="D23" s="406" t="s">
        <v>307</v>
      </c>
      <c r="E23" s="406" t="s">
        <v>308</v>
      </c>
      <c r="F23" s="407" t="s">
        <v>309</v>
      </c>
      <c r="G23" s="407" t="s">
        <v>310</v>
      </c>
      <c r="H23" s="408" t="s">
        <v>22</v>
      </c>
      <c r="I23" s="408" t="s">
        <v>21</v>
      </c>
      <c r="J23" s="408" t="s">
        <v>35</v>
      </c>
      <c r="K23" s="408" t="s">
        <v>35</v>
      </c>
      <c r="L23" s="408" t="s">
        <v>35</v>
      </c>
      <c r="M23" s="408" t="s">
        <v>37</v>
      </c>
      <c r="N23" s="409">
        <v>41223060.590000004</v>
      </c>
      <c r="O23" s="409">
        <v>0</v>
      </c>
      <c r="P23" s="409">
        <v>264178.14601119194</v>
      </c>
      <c r="Q23" s="409">
        <f t="shared" si="4"/>
        <v>0</v>
      </c>
      <c r="R23" s="409">
        <f t="shared" si="5"/>
        <v>41223060.590000004</v>
      </c>
      <c r="S23" s="410">
        <f t="shared" si="6"/>
        <v>33631756.586906232</v>
      </c>
      <c r="T23" s="409">
        <f t="shared" si="7"/>
        <v>33631756.586906232</v>
      </c>
      <c r="U23" s="411">
        <f t="shared" si="8"/>
        <v>11814836</v>
      </c>
      <c r="V23" s="411">
        <f t="shared" si="9"/>
        <v>7591304.0030937716</v>
      </c>
      <c r="W23" s="412">
        <v>0</v>
      </c>
      <c r="X23" s="412">
        <v>0</v>
      </c>
      <c r="Y23" s="411">
        <f t="shared" si="10"/>
        <v>33631756.590000004</v>
      </c>
      <c r="Z23" s="411">
        <f t="shared" si="10"/>
        <v>11814836</v>
      </c>
      <c r="AA23" s="411">
        <f t="shared" si="11"/>
        <v>33631756.590000004</v>
      </c>
      <c r="AB23" s="383"/>
      <c r="AC23" s="413"/>
      <c r="AD23" s="413" t="str">
        <f t="shared" si="12"/>
        <v/>
      </c>
      <c r="AE23" s="414" t="str">
        <f>IF($AD23="","",COUNTIFS($AD$14:AD23,"Yes"))</f>
        <v/>
      </c>
      <c r="AF23" s="413" t="b">
        <f>IF(C23="", "", AND(INDEX('Summary Dynamic'!$D$8:$D$10, MATCH(H23, 'Summary Dynamic'!$C$8:$C$10, 0))="Include", INDEX('Summary Dynamic'!$D$12:$D$14, MATCH(I23, 'Summary Dynamic'!$C$12:$C$14, 0))="Include", INDEX('Summary Dynamic'!$D$16:$D$17, MATCH(J23, 'Summary Dynamic'!$C$16:$C$17, 0))="Include", INDEX('Summary Dynamic'!$D$19:$D$20, MATCH(K23, 'Summary Dynamic'!$C$19:$C$20, 0))="Include", INDEX('Summary Dynamic'!$D$22:$D$23, MATCH(L23, 'Summary Dynamic'!$C$22:$C$23, 0))="Include", INDEX('Summary Dynamic'!$D$25:$D$26, MATCH(M23, 'Summary Dynamic'!$C$25:$C$26, 0))="Include"))</f>
        <v>1</v>
      </c>
      <c r="AG23" s="414">
        <f>IFERROR(IF(C23="", "", IF(AF23=TRUE, COUNTIFS($AF$14:AF23, TRUE), "n/a")), "n/a")</f>
        <v>10</v>
      </c>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c r="DN23" s="353"/>
      <c r="DO23" s="353"/>
      <c r="DP23" s="353"/>
      <c r="DQ23" s="353"/>
      <c r="DR23" s="353"/>
      <c r="DS23" s="353"/>
      <c r="DT23" s="353"/>
      <c r="DU23" s="353"/>
      <c r="DV23" s="353"/>
      <c r="DW23" s="353"/>
      <c r="DX23" s="353"/>
      <c r="DY23" s="353"/>
      <c r="DZ23" s="353"/>
      <c r="EA23" s="353"/>
      <c r="EB23" s="353"/>
      <c r="EC23" s="353"/>
      <c r="ED23" s="353"/>
      <c r="EE23" s="353"/>
      <c r="EF23" s="353"/>
      <c r="EG23" s="353"/>
      <c r="EH23" s="353"/>
      <c r="EI23" s="353"/>
      <c r="EJ23" s="353"/>
      <c r="EK23" s="353"/>
      <c r="EL23" s="353"/>
      <c r="EM23" s="353"/>
      <c r="EN23" s="353"/>
      <c r="EO23" s="353"/>
      <c r="EP23" s="353"/>
      <c r="EQ23" s="353"/>
      <c r="ER23" s="353"/>
      <c r="ES23" s="353"/>
      <c r="ET23" s="353"/>
      <c r="EU23" s="353"/>
      <c r="EV23" s="353"/>
      <c r="EW23" s="353"/>
      <c r="EX23" s="353"/>
      <c r="EY23" s="353"/>
      <c r="EZ23" s="353"/>
      <c r="FA23" s="353"/>
      <c r="FB23" s="353"/>
      <c r="FC23" s="353"/>
      <c r="FD23" s="353"/>
      <c r="FE23" s="353"/>
      <c r="FF23" s="353"/>
      <c r="FG23" s="353"/>
      <c r="FH23" s="353"/>
      <c r="FI23" s="353"/>
      <c r="FJ23" s="353"/>
      <c r="FK23" s="353"/>
      <c r="FL23" s="353"/>
      <c r="FM23" s="353"/>
      <c r="FN23" s="353"/>
      <c r="FO23" s="353"/>
      <c r="FP23" s="353"/>
      <c r="FQ23" s="353"/>
      <c r="FR23" s="353"/>
      <c r="FS23" s="353"/>
      <c r="FT23" s="353"/>
      <c r="FU23" s="353"/>
      <c r="FV23" s="353"/>
      <c r="FW23" s="353"/>
      <c r="FX23" s="353"/>
      <c r="FY23" s="353"/>
      <c r="FZ23" s="353"/>
      <c r="GA23" s="353"/>
      <c r="GB23" s="353"/>
      <c r="GC23" s="353"/>
      <c r="GD23" s="353"/>
      <c r="GE23" s="353"/>
      <c r="GF23" s="353"/>
      <c r="GG23" s="353"/>
      <c r="GH23" s="353"/>
      <c r="GI23" s="353"/>
      <c r="GJ23" s="353"/>
      <c r="GK23" s="353"/>
      <c r="GL23" s="353"/>
      <c r="GM23" s="353"/>
      <c r="GN23" s="353"/>
      <c r="GO23" s="353"/>
      <c r="GP23" s="353"/>
      <c r="GQ23" s="353"/>
      <c r="GR23" s="353"/>
      <c r="GS23" s="353"/>
      <c r="GT23" s="353"/>
      <c r="GU23" s="353"/>
      <c r="GV23" s="353"/>
      <c r="GW23" s="353"/>
      <c r="GX23" s="353"/>
      <c r="GY23" s="353"/>
      <c r="GZ23" s="353"/>
      <c r="HA23" s="353"/>
      <c r="HB23" s="353"/>
      <c r="HC23" s="353"/>
      <c r="HD23" s="353"/>
      <c r="HE23" s="353"/>
      <c r="HF23" s="353"/>
      <c r="HG23" s="353"/>
      <c r="HH23" s="353"/>
      <c r="HI23" s="353"/>
      <c r="HJ23" s="353"/>
      <c r="HK23" s="353"/>
      <c r="HL23" s="353"/>
      <c r="HM23" s="353"/>
      <c r="HN23" s="353"/>
      <c r="HO23" s="353"/>
      <c r="HP23" s="353"/>
      <c r="HQ23" s="353"/>
      <c r="HR23" s="353"/>
      <c r="HS23" s="353"/>
      <c r="HT23" s="353"/>
      <c r="HU23" s="353"/>
      <c r="HV23" s="353"/>
      <c r="HW23" s="353"/>
      <c r="HX23" s="353"/>
      <c r="HY23" s="353"/>
      <c r="HZ23" s="353"/>
      <c r="IA23" s="353"/>
      <c r="IB23" s="353"/>
      <c r="IC23" s="353"/>
      <c r="ID23" s="353"/>
      <c r="IE23" s="353"/>
      <c r="IF23" s="353"/>
      <c r="IG23" s="353"/>
      <c r="IH23" s="353"/>
      <c r="II23" s="353"/>
      <c r="IJ23" s="353"/>
      <c r="IK23" s="353"/>
      <c r="IL23" s="353"/>
      <c r="IM23" s="353"/>
      <c r="IN23" s="353"/>
      <c r="IO23" s="353"/>
      <c r="IP23" s="353"/>
      <c r="IQ23" s="353"/>
      <c r="IR23" s="353"/>
      <c r="IS23" s="353"/>
      <c r="IT23" s="353"/>
      <c r="IU23" s="353"/>
      <c r="IV23" s="353"/>
      <c r="IW23" s="353"/>
      <c r="IX23" s="353"/>
      <c r="IY23" s="353"/>
      <c r="IZ23" s="353"/>
      <c r="JA23" s="353"/>
      <c r="JB23" s="353"/>
      <c r="JC23" s="353"/>
      <c r="JD23" s="353"/>
      <c r="JE23" s="353"/>
      <c r="JF23" s="353"/>
      <c r="JG23" s="353"/>
      <c r="JH23" s="353"/>
      <c r="JI23" s="353"/>
      <c r="JJ23" s="353"/>
      <c r="JK23" s="353"/>
      <c r="JL23" s="353"/>
      <c r="JM23" s="353"/>
      <c r="JN23" s="353"/>
      <c r="JO23" s="353"/>
      <c r="JP23" s="353"/>
      <c r="JQ23" s="353"/>
      <c r="JR23" s="353"/>
      <c r="JS23" s="353"/>
      <c r="JT23" s="353"/>
      <c r="JU23" s="353"/>
      <c r="JV23" s="353"/>
      <c r="JW23" s="353"/>
      <c r="JX23" s="353"/>
      <c r="JY23" s="353"/>
      <c r="JZ23" s="353"/>
      <c r="KA23" s="353"/>
      <c r="KB23" s="353"/>
      <c r="KC23" s="353"/>
      <c r="KD23" s="353"/>
      <c r="KE23" s="353"/>
      <c r="KF23" s="353"/>
      <c r="KG23" s="353"/>
      <c r="KH23" s="353"/>
      <c r="KI23" s="353"/>
      <c r="KJ23" s="353"/>
      <c r="KK23" s="353"/>
      <c r="KL23" s="353"/>
      <c r="KM23" s="353"/>
      <c r="KN23" s="353"/>
      <c r="KO23" s="353"/>
      <c r="KP23" s="353"/>
      <c r="KQ23" s="353"/>
      <c r="KR23" s="353"/>
      <c r="KS23" s="353"/>
      <c r="KT23" s="353"/>
      <c r="KU23" s="353"/>
      <c r="KV23" s="353"/>
      <c r="KW23" s="353"/>
      <c r="KX23" s="353"/>
      <c r="KY23" s="353"/>
      <c r="KZ23" s="353"/>
      <c r="LA23" s="353"/>
      <c r="LB23" s="353"/>
      <c r="LC23" s="353"/>
      <c r="LD23" s="353"/>
      <c r="LE23" s="353"/>
      <c r="LF23" s="353"/>
      <c r="LG23" s="353"/>
      <c r="LH23" s="353"/>
      <c r="LI23" s="353"/>
      <c r="LJ23" s="353"/>
      <c r="LK23" s="353"/>
      <c r="LL23" s="353"/>
      <c r="LM23" s="353"/>
      <c r="LN23" s="353"/>
      <c r="LO23" s="353"/>
      <c r="LP23" s="353"/>
      <c r="LQ23" s="353"/>
      <c r="LR23" s="353"/>
      <c r="LS23" s="353"/>
      <c r="LT23" s="353"/>
      <c r="LU23" s="353"/>
      <c r="LV23" s="353"/>
      <c r="LW23" s="353"/>
      <c r="LX23" s="353"/>
      <c r="LY23" s="353"/>
      <c r="LZ23" s="353"/>
      <c r="MA23" s="353"/>
      <c r="MB23" s="353"/>
      <c r="MC23" s="353"/>
      <c r="MD23" s="353"/>
      <c r="ME23" s="353"/>
      <c r="MF23" s="353"/>
      <c r="MG23" s="353"/>
      <c r="MH23" s="353"/>
      <c r="MI23" s="353"/>
      <c r="MJ23" s="353"/>
      <c r="MK23" s="353"/>
      <c r="ML23" s="353"/>
      <c r="MM23" s="353"/>
      <c r="MN23" s="353"/>
      <c r="MO23" s="353"/>
      <c r="MP23" s="353"/>
      <c r="MQ23" s="353"/>
      <c r="MR23" s="353"/>
      <c r="MS23" s="353"/>
      <c r="MT23" s="353"/>
      <c r="MU23" s="353"/>
      <c r="MV23" s="353"/>
      <c r="MW23" s="353"/>
      <c r="MX23" s="353"/>
      <c r="MY23" s="353"/>
      <c r="MZ23" s="353"/>
      <c r="NA23" s="353"/>
      <c r="NB23" s="353"/>
      <c r="NC23" s="353"/>
      <c r="ND23" s="353"/>
      <c r="NE23" s="353"/>
      <c r="NF23" s="353"/>
      <c r="NG23" s="353"/>
      <c r="NH23" s="353"/>
      <c r="NI23" s="353"/>
      <c r="NJ23" s="353"/>
      <c r="NK23" s="353"/>
      <c r="NL23" s="353"/>
      <c r="NM23" s="353"/>
      <c r="NN23" s="353"/>
      <c r="NO23" s="353"/>
      <c r="NP23" s="353"/>
      <c r="NQ23" s="353"/>
      <c r="NR23" s="353"/>
      <c r="NS23" s="353"/>
      <c r="NT23" s="353"/>
      <c r="NU23" s="353"/>
      <c r="NV23" s="353"/>
      <c r="NW23" s="353"/>
      <c r="NX23" s="353"/>
      <c r="NY23" s="353"/>
      <c r="NZ23" s="353"/>
      <c r="OA23" s="353"/>
      <c r="OB23" s="353"/>
      <c r="OC23" s="353"/>
      <c r="OD23" s="353"/>
      <c r="OE23" s="353"/>
      <c r="OF23" s="353"/>
      <c r="OG23" s="353"/>
      <c r="OH23" s="353"/>
      <c r="OI23" s="353"/>
      <c r="OJ23" s="353"/>
      <c r="OK23" s="353"/>
      <c r="OL23" s="353"/>
      <c r="OM23" s="353"/>
      <c r="ON23" s="353"/>
      <c r="OO23" s="353"/>
      <c r="OP23" s="353"/>
      <c r="OQ23" s="353"/>
      <c r="OR23" s="353"/>
      <c r="OS23" s="353"/>
      <c r="OT23" s="353"/>
      <c r="OU23" s="353"/>
      <c r="OV23" s="353"/>
      <c r="OW23" s="353"/>
      <c r="OX23" s="353"/>
      <c r="OY23" s="353"/>
      <c r="OZ23" s="353"/>
      <c r="PA23" s="353"/>
      <c r="PB23" s="353"/>
      <c r="PC23" s="353"/>
      <c r="PD23" s="353"/>
      <c r="PE23" s="353"/>
      <c r="PF23" s="353"/>
      <c r="PG23" s="353"/>
      <c r="PH23" s="353"/>
      <c r="PI23" s="353"/>
      <c r="PJ23" s="353"/>
      <c r="PK23" s="353"/>
      <c r="PL23" s="353"/>
      <c r="PM23" s="353"/>
      <c r="PN23" s="353"/>
      <c r="PO23" s="353"/>
      <c r="PP23" s="353"/>
      <c r="PQ23" s="353"/>
      <c r="PR23" s="353"/>
      <c r="PS23" s="353"/>
      <c r="PT23" s="353"/>
      <c r="PU23" s="353"/>
      <c r="PV23" s="353"/>
      <c r="PW23" s="353"/>
      <c r="PX23" s="353"/>
      <c r="PY23" s="353"/>
      <c r="PZ23" s="353"/>
      <c r="QA23" s="353"/>
      <c r="QB23" s="353"/>
      <c r="QC23" s="353"/>
      <c r="QD23" s="353"/>
      <c r="QE23" s="353"/>
      <c r="QF23" s="353"/>
      <c r="QG23" s="353"/>
      <c r="QH23" s="353"/>
      <c r="QI23" s="353"/>
      <c r="QJ23" s="353"/>
      <c r="QK23" s="353"/>
      <c r="QL23" s="353"/>
      <c r="QM23" s="353"/>
      <c r="QN23" s="353"/>
      <c r="QO23" s="353"/>
      <c r="QP23" s="353"/>
      <c r="QQ23" s="353"/>
      <c r="QR23" s="353"/>
      <c r="QS23" s="353"/>
      <c r="QT23" s="353"/>
      <c r="QU23" s="353"/>
      <c r="QV23" s="353"/>
      <c r="QW23" s="353"/>
      <c r="QX23" s="353"/>
      <c r="QY23" s="353"/>
      <c r="QZ23" s="353"/>
      <c r="RA23" s="353"/>
      <c r="RB23" s="353"/>
      <c r="RC23" s="353"/>
      <c r="RD23" s="353"/>
      <c r="RE23" s="353"/>
      <c r="RF23" s="353"/>
      <c r="RG23" s="353"/>
      <c r="RH23" s="353"/>
      <c r="RI23" s="353"/>
      <c r="RJ23" s="353"/>
      <c r="RK23" s="353"/>
      <c r="RL23" s="353"/>
      <c r="RM23" s="353"/>
      <c r="RN23" s="353"/>
      <c r="RO23" s="353"/>
      <c r="RP23" s="353"/>
      <c r="RQ23" s="353"/>
      <c r="RR23" s="353"/>
      <c r="RS23" s="353"/>
      <c r="RT23" s="353"/>
      <c r="RU23" s="353"/>
      <c r="RV23" s="353"/>
      <c r="RW23" s="353"/>
      <c r="RX23" s="353"/>
      <c r="RY23" s="353"/>
      <c r="RZ23" s="353"/>
      <c r="SA23" s="353"/>
      <c r="SB23" s="353"/>
      <c r="SC23" s="353"/>
      <c r="SD23" s="353"/>
      <c r="SE23" s="353"/>
      <c r="SF23" s="353"/>
      <c r="SG23" s="353"/>
      <c r="SH23" s="353"/>
      <c r="SI23" s="353"/>
      <c r="SJ23" s="353"/>
      <c r="SK23" s="353"/>
      <c r="SL23" s="353"/>
      <c r="SM23" s="353"/>
      <c r="SN23" s="353"/>
      <c r="SO23" s="353"/>
      <c r="SP23" s="353"/>
      <c r="SQ23" s="353"/>
      <c r="SR23" s="353"/>
      <c r="SS23" s="353"/>
      <c r="ST23" s="353"/>
      <c r="SU23" s="353"/>
      <c r="SV23" s="353"/>
      <c r="SW23" s="353"/>
      <c r="SX23" s="353"/>
      <c r="SY23" s="353"/>
      <c r="SZ23" s="353"/>
      <c r="TA23" s="353"/>
      <c r="TB23" s="353"/>
      <c r="TC23" s="353"/>
      <c r="TD23" s="353"/>
      <c r="TE23" s="353"/>
      <c r="TF23" s="353"/>
      <c r="TG23" s="353"/>
      <c r="TH23" s="353"/>
      <c r="TI23" s="353"/>
      <c r="TJ23" s="353"/>
      <c r="TK23" s="353"/>
      <c r="TL23" s="353"/>
      <c r="TM23" s="353"/>
      <c r="TN23" s="353"/>
      <c r="TO23" s="353"/>
      <c r="TP23" s="353"/>
      <c r="TQ23" s="353"/>
      <c r="TR23" s="353"/>
      <c r="TS23" s="353"/>
      <c r="TT23" s="353"/>
      <c r="TU23" s="353"/>
      <c r="TV23" s="353"/>
      <c r="TW23" s="353"/>
      <c r="TX23" s="353"/>
      <c r="TY23" s="353"/>
      <c r="TZ23" s="353"/>
      <c r="UA23" s="353"/>
      <c r="UB23" s="353"/>
      <c r="UC23" s="353"/>
      <c r="UD23" s="353"/>
      <c r="UE23" s="353"/>
      <c r="UF23" s="353"/>
      <c r="UG23" s="353"/>
      <c r="UH23" s="353"/>
      <c r="UI23" s="353"/>
      <c r="UJ23" s="353"/>
      <c r="UK23" s="353"/>
      <c r="UL23" s="353"/>
      <c r="UM23" s="353"/>
      <c r="UN23" s="353"/>
      <c r="UO23" s="353"/>
      <c r="UP23" s="353"/>
      <c r="UQ23" s="353"/>
      <c r="UR23" s="353"/>
      <c r="US23" s="353"/>
      <c r="UT23" s="353"/>
      <c r="UU23" s="353"/>
      <c r="UV23" s="353"/>
      <c r="UW23" s="353"/>
      <c r="UX23" s="353"/>
      <c r="UY23" s="353"/>
      <c r="UZ23" s="353"/>
      <c r="VA23" s="353"/>
      <c r="VB23" s="353"/>
      <c r="VC23" s="353"/>
      <c r="VD23" s="353"/>
      <c r="VE23" s="353"/>
      <c r="VF23" s="353"/>
      <c r="VG23" s="353"/>
      <c r="VH23" s="353"/>
      <c r="VI23" s="353"/>
      <c r="VJ23" s="353"/>
      <c r="VK23" s="353"/>
      <c r="VL23" s="353"/>
      <c r="VM23" s="353"/>
      <c r="VN23" s="353"/>
      <c r="VO23" s="353"/>
      <c r="VP23" s="353"/>
      <c r="VQ23" s="353"/>
      <c r="VR23" s="353"/>
      <c r="VS23" s="353"/>
      <c r="VT23" s="353"/>
      <c r="VU23" s="353"/>
      <c r="VV23" s="353"/>
      <c r="VW23" s="353"/>
      <c r="VX23" s="353"/>
      <c r="VY23" s="353"/>
      <c r="VZ23" s="353"/>
      <c r="WA23" s="353"/>
      <c r="WB23" s="353"/>
      <c r="WC23" s="353"/>
      <c r="WD23" s="353"/>
      <c r="WE23" s="353"/>
      <c r="WF23" s="353"/>
      <c r="WG23" s="353"/>
      <c r="WH23" s="353"/>
      <c r="WI23" s="353"/>
      <c r="WJ23" s="353"/>
      <c r="WK23" s="353"/>
      <c r="WL23" s="353"/>
      <c r="WM23" s="353"/>
      <c r="WN23" s="353"/>
      <c r="WO23" s="353"/>
      <c r="WP23" s="353"/>
      <c r="WQ23" s="353"/>
      <c r="WR23" s="353"/>
      <c r="WS23" s="353"/>
      <c r="WT23" s="353"/>
      <c r="WU23" s="353"/>
      <c r="WV23" s="353"/>
      <c r="WW23" s="353"/>
      <c r="WX23" s="353"/>
      <c r="WY23" s="353"/>
      <c r="WZ23" s="353"/>
      <c r="XA23" s="353"/>
      <c r="XB23" s="353"/>
      <c r="XC23" s="353"/>
      <c r="XD23" s="353"/>
      <c r="XE23" s="353"/>
      <c r="XF23" s="353"/>
      <c r="XG23" s="353"/>
      <c r="XH23" s="353"/>
      <c r="XI23" s="353"/>
      <c r="XJ23" s="353"/>
      <c r="XK23" s="353"/>
      <c r="XL23" s="353"/>
      <c r="XM23" s="353"/>
      <c r="XN23" s="353"/>
      <c r="XO23" s="353"/>
      <c r="XP23" s="353"/>
      <c r="XQ23" s="353"/>
      <c r="XR23" s="353"/>
      <c r="XS23" s="353"/>
      <c r="XT23" s="353"/>
      <c r="XU23" s="353"/>
      <c r="XV23" s="353"/>
      <c r="XW23" s="353"/>
      <c r="XX23" s="353"/>
      <c r="XY23" s="353"/>
      <c r="XZ23" s="353"/>
      <c r="YA23" s="353"/>
      <c r="YB23" s="353"/>
      <c r="YC23" s="353"/>
      <c r="YD23" s="353"/>
      <c r="YE23" s="353"/>
      <c r="YF23" s="353"/>
      <c r="YG23" s="353"/>
      <c r="YH23" s="353"/>
      <c r="YI23" s="353"/>
      <c r="YJ23" s="353"/>
      <c r="YK23" s="353"/>
      <c r="YL23" s="353"/>
      <c r="YM23" s="353"/>
      <c r="YN23" s="353"/>
      <c r="YO23" s="353"/>
      <c r="YP23" s="353"/>
      <c r="YQ23" s="353"/>
      <c r="YR23" s="353"/>
      <c r="YS23" s="353"/>
      <c r="YT23" s="353"/>
      <c r="YU23" s="353"/>
      <c r="YV23" s="353"/>
      <c r="YW23" s="353"/>
      <c r="YX23" s="353"/>
      <c r="YY23" s="353"/>
      <c r="YZ23" s="353"/>
      <c r="ZA23" s="353"/>
      <c r="ZB23" s="353"/>
      <c r="ZC23" s="353"/>
      <c r="ZD23" s="353"/>
      <c r="ZE23" s="353"/>
      <c r="ZF23" s="353"/>
      <c r="ZG23" s="353"/>
      <c r="ZH23" s="353"/>
      <c r="ZI23" s="353"/>
      <c r="ZJ23" s="353"/>
      <c r="ZK23" s="353"/>
      <c r="ZL23" s="353"/>
      <c r="ZM23" s="353"/>
      <c r="ZN23" s="353"/>
      <c r="ZO23" s="353"/>
      <c r="ZP23" s="353"/>
      <c r="ZQ23" s="353"/>
      <c r="ZR23" s="353"/>
      <c r="ZS23" s="353"/>
      <c r="ZT23" s="353"/>
      <c r="ZU23" s="353"/>
      <c r="ZV23" s="353"/>
      <c r="ZW23" s="353"/>
      <c r="ZX23" s="353"/>
      <c r="ZY23" s="353"/>
      <c r="ZZ23" s="353"/>
      <c r="AAA23" s="353"/>
      <c r="AAB23" s="353"/>
      <c r="AAC23" s="353"/>
      <c r="AAD23" s="353"/>
      <c r="AAE23" s="353"/>
      <c r="AAF23" s="353"/>
      <c r="AAG23" s="353"/>
      <c r="AAH23" s="353"/>
      <c r="AAI23" s="353"/>
      <c r="AAJ23" s="353"/>
      <c r="AAK23" s="353"/>
      <c r="AAL23" s="353"/>
      <c r="AAM23" s="353"/>
      <c r="AAN23" s="353"/>
      <c r="AAO23" s="353"/>
      <c r="AAP23" s="353"/>
      <c r="AAQ23" s="353"/>
      <c r="AAR23" s="353"/>
      <c r="AAS23" s="353"/>
      <c r="AAT23" s="353"/>
      <c r="AAU23" s="353"/>
      <c r="AAV23" s="353"/>
      <c r="AAW23" s="353"/>
      <c r="AAX23" s="353"/>
      <c r="AAY23" s="353"/>
      <c r="AAZ23" s="353"/>
      <c r="ABA23" s="353"/>
      <c r="ABB23" s="353"/>
      <c r="ABC23" s="353"/>
      <c r="ABD23" s="353"/>
      <c r="ABE23" s="353"/>
      <c r="ABF23" s="353"/>
      <c r="ABG23" s="353"/>
      <c r="ABH23" s="353"/>
      <c r="ABI23" s="353"/>
      <c r="ABJ23" s="353"/>
      <c r="ABK23" s="353"/>
      <c r="ABL23" s="353"/>
      <c r="ABM23" s="353"/>
      <c r="ABN23" s="353"/>
      <c r="ABO23" s="353"/>
      <c r="ABP23" s="353"/>
      <c r="ABQ23" s="353"/>
      <c r="ABR23" s="353"/>
      <c r="ABS23" s="353"/>
      <c r="ABT23" s="353"/>
      <c r="ABU23" s="353"/>
      <c r="ABV23" s="353"/>
      <c r="ABW23" s="353"/>
      <c r="ABX23" s="353"/>
      <c r="ABY23" s="353"/>
      <c r="ABZ23" s="353"/>
      <c r="ACA23" s="353"/>
      <c r="ACB23" s="353"/>
      <c r="ACC23" s="353"/>
      <c r="ACD23" s="353"/>
      <c r="ACE23" s="353"/>
      <c r="ACF23" s="353"/>
      <c r="ACG23" s="353"/>
      <c r="ACH23" s="353"/>
      <c r="ACI23" s="353"/>
      <c r="ACJ23" s="353"/>
      <c r="ACK23" s="353"/>
      <c r="ACL23" s="353"/>
      <c r="ACM23" s="353"/>
      <c r="ACN23" s="353"/>
      <c r="ACO23" s="353"/>
      <c r="ACP23" s="353"/>
      <c r="ACQ23" s="353"/>
      <c r="ACR23" s="353"/>
      <c r="ACS23" s="353"/>
      <c r="ACT23" s="353"/>
      <c r="ACU23" s="353"/>
      <c r="ACV23" s="353"/>
      <c r="ACW23" s="353"/>
      <c r="ACX23" s="353"/>
      <c r="ACY23" s="353"/>
      <c r="ACZ23" s="353"/>
      <c r="ADA23" s="353"/>
      <c r="ADB23" s="353"/>
      <c r="ADC23" s="353"/>
      <c r="ADD23" s="353"/>
      <c r="ADE23" s="353"/>
      <c r="ADF23" s="353"/>
      <c r="ADG23" s="353"/>
      <c r="ADH23" s="353"/>
      <c r="ADI23" s="353"/>
      <c r="ADJ23" s="353"/>
      <c r="ADK23" s="353"/>
      <c r="ADL23" s="353"/>
      <c r="ADM23" s="353"/>
      <c r="ADN23" s="353"/>
      <c r="ADO23" s="353"/>
      <c r="ADP23" s="353"/>
      <c r="ADQ23" s="353"/>
      <c r="ADR23" s="353"/>
      <c r="ADS23" s="353"/>
      <c r="ADT23" s="353"/>
      <c r="ADU23" s="353"/>
      <c r="ADV23" s="353"/>
      <c r="ADW23" s="353"/>
      <c r="ADX23" s="353"/>
      <c r="ADY23" s="353"/>
      <c r="ADZ23" s="353"/>
      <c r="AEA23" s="353"/>
      <c r="AEB23" s="353"/>
      <c r="AEC23" s="353"/>
      <c r="AED23" s="353"/>
      <c r="AEE23" s="353"/>
      <c r="AEF23" s="353"/>
      <c r="AEG23" s="353"/>
      <c r="AEH23" s="353"/>
      <c r="AEI23" s="353"/>
      <c r="AEJ23" s="353"/>
      <c r="AEK23" s="353"/>
      <c r="AEL23" s="353"/>
      <c r="AEM23" s="353"/>
      <c r="AEN23" s="353"/>
      <c r="AEO23" s="353"/>
      <c r="AEP23" s="353"/>
      <c r="AEQ23" s="353"/>
      <c r="AER23" s="353"/>
      <c r="AES23" s="353"/>
      <c r="AET23" s="353"/>
      <c r="AEU23" s="353"/>
      <c r="AEV23" s="353"/>
      <c r="AEW23" s="353"/>
      <c r="AEX23" s="353"/>
      <c r="AEY23" s="353"/>
      <c r="AEZ23" s="353"/>
      <c r="AFA23" s="353"/>
      <c r="AFB23" s="353"/>
      <c r="AFC23" s="353"/>
      <c r="AFD23" s="353"/>
      <c r="AFE23" s="353"/>
      <c r="AFF23" s="353"/>
      <c r="AFG23" s="353"/>
      <c r="AFH23" s="353"/>
      <c r="AFI23" s="353"/>
      <c r="AFJ23" s="353"/>
      <c r="AFK23" s="353"/>
      <c r="AFL23" s="353"/>
      <c r="AFM23" s="353"/>
      <c r="AFN23" s="353"/>
      <c r="AFO23" s="353"/>
      <c r="AFP23" s="353"/>
      <c r="AFQ23" s="353"/>
      <c r="AFR23" s="353"/>
      <c r="AFS23" s="353"/>
      <c r="AFT23" s="353"/>
      <c r="AFU23" s="353"/>
      <c r="AFV23" s="353"/>
      <c r="AFW23" s="353"/>
      <c r="AFX23" s="353"/>
      <c r="AFY23" s="353"/>
      <c r="AFZ23" s="353"/>
      <c r="AGA23" s="353"/>
      <c r="AGB23" s="353"/>
      <c r="AGC23" s="353"/>
      <c r="AGD23" s="353"/>
      <c r="AGE23" s="353"/>
      <c r="AGF23" s="353"/>
      <c r="AGG23" s="353"/>
      <c r="AGH23" s="353"/>
      <c r="AGI23" s="353"/>
      <c r="AGJ23" s="353"/>
      <c r="AGK23" s="353"/>
      <c r="AGL23" s="353"/>
      <c r="AGM23" s="353"/>
      <c r="AGN23" s="353"/>
      <c r="AGO23" s="353"/>
      <c r="AGP23" s="353"/>
      <c r="AGQ23" s="353"/>
      <c r="AGR23" s="353"/>
      <c r="AGS23" s="353"/>
      <c r="AGT23" s="353"/>
      <c r="AGU23" s="353"/>
      <c r="AGV23" s="353"/>
      <c r="AGW23" s="353"/>
      <c r="AGX23" s="353"/>
      <c r="AGY23" s="353"/>
      <c r="AGZ23" s="353"/>
      <c r="AHA23" s="353"/>
      <c r="AHB23" s="353"/>
      <c r="AHC23" s="353"/>
      <c r="AHD23" s="353"/>
      <c r="AHE23" s="353"/>
      <c r="AHF23" s="353"/>
      <c r="AHG23" s="353"/>
      <c r="AHH23" s="353"/>
      <c r="AHI23" s="353"/>
      <c r="AHJ23" s="353"/>
      <c r="AHK23" s="353"/>
      <c r="AHL23" s="353"/>
      <c r="AHM23" s="353"/>
      <c r="AHN23" s="353"/>
      <c r="AHO23" s="353"/>
      <c r="AHP23" s="353"/>
      <c r="AHQ23" s="353"/>
      <c r="AHR23" s="353"/>
      <c r="AHS23" s="353"/>
      <c r="AHT23" s="353"/>
      <c r="AHU23" s="353"/>
      <c r="AHV23" s="353"/>
      <c r="AHW23" s="353"/>
      <c r="AHX23" s="353"/>
      <c r="AHY23" s="353"/>
      <c r="AHZ23" s="353"/>
      <c r="AIA23" s="353"/>
      <c r="AIB23" s="353"/>
      <c r="AIC23" s="353"/>
      <c r="AID23" s="353"/>
      <c r="AIE23" s="353"/>
      <c r="AIF23" s="353"/>
      <c r="AIG23" s="353"/>
      <c r="AIH23" s="353"/>
      <c r="AII23" s="353"/>
      <c r="AIJ23" s="353"/>
      <c r="AIK23" s="353"/>
      <c r="AIL23" s="353"/>
      <c r="AIM23" s="353"/>
      <c r="AIN23" s="353"/>
      <c r="AIO23" s="353"/>
      <c r="AIP23" s="353"/>
      <c r="AIQ23" s="353"/>
      <c r="AIR23" s="353"/>
      <c r="AIS23" s="353"/>
      <c r="AIT23" s="353"/>
      <c r="AIU23" s="353"/>
      <c r="AIV23" s="353"/>
      <c r="AIW23" s="353"/>
      <c r="AIX23" s="353"/>
      <c r="AIY23" s="353"/>
      <c r="AIZ23" s="353"/>
      <c r="AJA23" s="353"/>
      <c r="AJB23" s="353"/>
      <c r="AJC23" s="353"/>
      <c r="AJD23" s="353"/>
      <c r="AJE23" s="353"/>
      <c r="AJF23" s="353"/>
      <c r="AJG23" s="353"/>
      <c r="AJH23" s="353"/>
      <c r="AJI23" s="353"/>
      <c r="AJJ23" s="353"/>
      <c r="AJK23" s="353"/>
      <c r="AJL23" s="353"/>
      <c r="AJM23" s="353"/>
      <c r="AJN23" s="353"/>
      <c r="AJO23" s="353"/>
      <c r="AJP23" s="353"/>
      <c r="AJQ23" s="353"/>
      <c r="AJR23" s="353"/>
      <c r="AJS23" s="353"/>
      <c r="AJT23" s="353"/>
      <c r="AJU23" s="353"/>
      <c r="AJV23" s="353"/>
      <c r="AJW23" s="353"/>
      <c r="AJX23" s="353"/>
      <c r="AJY23" s="353"/>
      <c r="AJZ23" s="353"/>
      <c r="AKA23" s="353"/>
      <c r="AKB23" s="353"/>
      <c r="AKC23" s="353"/>
      <c r="AKD23" s="353"/>
      <c r="AKE23" s="353"/>
      <c r="AKF23" s="353"/>
      <c r="AKG23" s="353"/>
      <c r="AKH23" s="353"/>
      <c r="AKI23" s="353"/>
      <c r="AKJ23" s="353"/>
      <c r="AKK23" s="353"/>
      <c r="AKL23" s="353"/>
      <c r="AKM23" s="353"/>
      <c r="AKN23" s="353"/>
      <c r="AKO23" s="353"/>
      <c r="AKP23" s="353"/>
      <c r="AKQ23" s="353"/>
      <c r="AKR23" s="353"/>
      <c r="AKS23" s="353"/>
      <c r="AKT23" s="353"/>
      <c r="AKU23" s="353"/>
      <c r="AKV23" s="353"/>
      <c r="AKW23" s="353"/>
      <c r="AKX23" s="353"/>
      <c r="AKY23" s="353"/>
      <c r="AKZ23" s="353"/>
      <c r="ALA23" s="353"/>
      <c r="ALB23" s="353"/>
      <c r="ALC23" s="353"/>
      <c r="ALD23" s="353"/>
      <c r="ALE23" s="353"/>
      <c r="ALF23" s="353"/>
      <c r="ALG23" s="353"/>
      <c r="ALH23" s="353"/>
      <c r="ALI23" s="353"/>
      <c r="ALJ23" s="353"/>
      <c r="ALK23" s="353"/>
      <c r="ALL23" s="353"/>
      <c r="ALM23" s="353"/>
      <c r="ALN23" s="353"/>
      <c r="ALO23" s="353"/>
      <c r="ALP23" s="353"/>
      <c r="ALQ23" s="353"/>
      <c r="ALR23" s="353"/>
      <c r="ALS23" s="353"/>
      <c r="ALT23" s="353"/>
      <c r="ALU23" s="353"/>
      <c r="ALV23" s="353"/>
      <c r="ALW23" s="353"/>
      <c r="ALX23" s="353"/>
      <c r="ALY23" s="353"/>
      <c r="ALZ23" s="353"/>
      <c r="AMA23" s="353"/>
      <c r="AMB23" s="353"/>
      <c r="AMC23" s="353"/>
      <c r="AMD23" s="353"/>
      <c r="AME23" s="353"/>
      <c r="AMF23" s="353"/>
      <c r="AMG23" s="353"/>
      <c r="AMH23" s="353"/>
      <c r="AMI23" s="353"/>
      <c r="AMJ23" s="353"/>
      <c r="AMK23" s="353"/>
      <c r="AML23" s="353"/>
      <c r="AMM23" s="353"/>
      <c r="AMN23" s="353"/>
      <c r="AMO23" s="353"/>
      <c r="AMP23" s="353"/>
    </row>
    <row r="24" spans="2:1030" s="354" customFormat="1" ht="12.75" x14ac:dyDescent="0.2">
      <c r="B24" s="404">
        <f t="shared" si="13"/>
        <v>11</v>
      </c>
      <c r="C24" s="405" t="s">
        <v>311</v>
      </c>
      <c r="D24" s="406" t="s">
        <v>311</v>
      </c>
      <c r="E24" s="406" t="s">
        <v>312</v>
      </c>
      <c r="F24" s="407" t="s">
        <v>313</v>
      </c>
      <c r="G24" s="407" t="s">
        <v>314</v>
      </c>
      <c r="H24" s="408" t="s">
        <v>22</v>
      </c>
      <c r="I24" s="408" t="s">
        <v>21</v>
      </c>
      <c r="J24" s="408" t="s">
        <v>35</v>
      </c>
      <c r="K24" s="408" t="s">
        <v>35</v>
      </c>
      <c r="L24" s="408" t="s">
        <v>35</v>
      </c>
      <c r="M24" s="408" t="s">
        <v>37</v>
      </c>
      <c r="N24" s="409">
        <v>48975483.659999996</v>
      </c>
      <c r="O24" s="409">
        <v>0</v>
      </c>
      <c r="P24" s="409">
        <v>191844.29513882799</v>
      </c>
      <c r="Q24" s="409">
        <f t="shared" si="4"/>
        <v>0</v>
      </c>
      <c r="R24" s="409">
        <f t="shared" si="5"/>
        <v>48975483.659999996</v>
      </c>
      <c r="S24" s="410">
        <f t="shared" si="6"/>
        <v>39956556.393551454</v>
      </c>
      <c r="T24" s="409">
        <f t="shared" si="7"/>
        <v>39956556.393551454</v>
      </c>
      <c r="U24" s="411">
        <f t="shared" si="8"/>
        <v>14036738</v>
      </c>
      <c r="V24" s="411">
        <f t="shared" si="9"/>
        <v>9018927.2664485425</v>
      </c>
      <c r="W24" s="412">
        <v>0</v>
      </c>
      <c r="X24" s="412">
        <v>0</v>
      </c>
      <c r="Y24" s="411">
        <f t="shared" si="10"/>
        <v>39956556.390000001</v>
      </c>
      <c r="Z24" s="411">
        <f t="shared" si="10"/>
        <v>14036738</v>
      </c>
      <c r="AA24" s="411">
        <f t="shared" si="11"/>
        <v>39956556.390000001</v>
      </c>
      <c r="AB24" s="383"/>
      <c r="AC24" s="413"/>
      <c r="AD24" s="413" t="str">
        <f t="shared" si="12"/>
        <v/>
      </c>
      <c r="AE24" s="414" t="str">
        <f>IF($AD24="","",COUNTIFS($AD$14:AD24,"Yes"))</f>
        <v/>
      </c>
      <c r="AF24" s="413" t="b">
        <f>IF(C24="", "", AND(INDEX('Summary Dynamic'!$D$8:$D$10, MATCH(H24, 'Summary Dynamic'!$C$8:$C$10, 0))="Include", INDEX('Summary Dynamic'!$D$12:$D$14, MATCH(I24, 'Summary Dynamic'!$C$12:$C$14, 0))="Include", INDEX('Summary Dynamic'!$D$16:$D$17, MATCH(J24, 'Summary Dynamic'!$C$16:$C$17, 0))="Include", INDEX('Summary Dynamic'!$D$19:$D$20, MATCH(K24, 'Summary Dynamic'!$C$19:$C$20, 0))="Include", INDEX('Summary Dynamic'!$D$22:$D$23, MATCH(L24, 'Summary Dynamic'!$C$22:$C$23, 0))="Include", INDEX('Summary Dynamic'!$D$25:$D$26, MATCH(M24, 'Summary Dynamic'!$C$25:$C$26, 0))="Include"))</f>
        <v>1</v>
      </c>
      <c r="AG24" s="414">
        <f>IFERROR(IF(C24="", "", IF(AF24=TRUE, COUNTIFS($AF$14:AF24, TRUE), "n/a")), "n/a")</f>
        <v>11</v>
      </c>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c r="DN24" s="353"/>
      <c r="DO24" s="353"/>
      <c r="DP24" s="353"/>
      <c r="DQ24" s="353"/>
      <c r="DR24" s="353"/>
      <c r="DS24" s="353"/>
      <c r="DT24" s="353"/>
      <c r="DU24" s="353"/>
      <c r="DV24" s="353"/>
      <c r="DW24" s="353"/>
      <c r="DX24" s="353"/>
      <c r="DY24" s="353"/>
      <c r="DZ24" s="353"/>
      <c r="EA24" s="353"/>
      <c r="EB24" s="353"/>
      <c r="EC24" s="353"/>
      <c r="ED24" s="353"/>
      <c r="EE24" s="353"/>
      <c r="EF24" s="353"/>
      <c r="EG24" s="353"/>
      <c r="EH24" s="353"/>
      <c r="EI24" s="353"/>
      <c r="EJ24" s="353"/>
      <c r="EK24" s="353"/>
      <c r="EL24" s="353"/>
      <c r="EM24" s="353"/>
      <c r="EN24" s="353"/>
      <c r="EO24" s="353"/>
      <c r="EP24" s="353"/>
      <c r="EQ24" s="353"/>
      <c r="ER24" s="353"/>
      <c r="ES24" s="353"/>
      <c r="ET24" s="353"/>
      <c r="EU24" s="353"/>
      <c r="EV24" s="353"/>
      <c r="EW24" s="353"/>
      <c r="EX24" s="353"/>
      <c r="EY24" s="353"/>
      <c r="EZ24" s="353"/>
      <c r="FA24" s="353"/>
      <c r="FB24" s="353"/>
      <c r="FC24" s="353"/>
      <c r="FD24" s="353"/>
      <c r="FE24" s="353"/>
      <c r="FF24" s="353"/>
      <c r="FG24" s="353"/>
      <c r="FH24" s="353"/>
      <c r="FI24" s="353"/>
      <c r="FJ24" s="353"/>
      <c r="FK24" s="353"/>
      <c r="FL24" s="353"/>
      <c r="FM24" s="353"/>
      <c r="FN24" s="353"/>
      <c r="FO24" s="353"/>
      <c r="FP24" s="353"/>
      <c r="FQ24" s="353"/>
      <c r="FR24" s="353"/>
      <c r="FS24" s="353"/>
      <c r="FT24" s="353"/>
      <c r="FU24" s="353"/>
      <c r="FV24" s="353"/>
      <c r="FW24" s="353"/>
      <c r="FX24" s="353"/>
      <c r="FY24" s="353"/>
      <c r="FZ24" s="353"/>
      <c r="GA24" s="353"/>
      <c r="GB24" s="353"/>
      <c r="GC24" s="353"/>
      <c r="GD24" s="353"/>
      <c r="GE24" s="353"/>
      <c r="GF24" s="353"/>
      <c r="GG24" s="353"/>
      <c r="GH24" s="353"/>
      <c r="GI24" s="353"/>
      <c r="GJ24" s="353"/>
      <c r="GK24" s="353"/>
      <c r="GL24" s="353"/>
      <c r="GM24" s="353"/>
      <c r="GN24" s="353"/>
      <c r="GO24" s="353"/>
      <c r="GP24" s="353"/>
      <c r="GQ24" s="353"/>
      <c r="GR24" s="353"/>
      <c r="GS24" s="353"/>
      <c r="GT24" s="353"/>
      <c r="GU24" s="353"/>
      <c r="GV24" s="353"/>
      <c r="GW24" s="353"/>
      <c r="GX24" s="353"/>
      <c r="GY24" s="353"/>
      <c r="GZ24" s="353"/>
      <c r="HA24" s="353"/>
      <c r="HB24" s="353"/>
      <c r="HC24" s="353"/>
      <c r="HD24" s="353"/>
      <c r="HE24" s="353"/>
      <c r="HF24" s="353"/>
      <c r="HG24" s="353"/>
      <c r="HH24" s="353"/>
      <c r="HI24" s="353"/>
      <c r="HJ24" s="353"/>
      <c r="HK24" s="353"/>
      <c r="HL24" s="353"/>
      <c r="HM24" s="353"/>
      <c r="HN24" s="353"/>
      <c r="HO24" s="353"/>
      <c r="HP24" s="353"/>
      <c r="HQ24" s="353"/>
      <c r="HR24" s="353"/>
      <c r="HS24" s="353"/>
      <c r="HT24" s="353"/>
      <c r="HU24" s="353"/>
      <c r="HV24" s="353"/>
      <c r="HW24" s="353"/>
      <c r="HX24" s="353"/>
      <c r="HY24" s="353"/>
      <c r="HZ24" s="353"/>
      <c r="IA24" s="353"/>
      <c r="IB24" s="353"/>
      <c r="IC24" s="353"/>
      <c r="ID24" s="353"/>
      <c r="IE24" s="353"/>
      <c r="IF24" s="353"/>
      <c r="IG24" s="353"/>
      <c r="IH24" s="353"/>
      <c r="II24" s="353"/>
      <c r="IJ24" s="353"/>
      <c r="IK24" s="353"/>
      <c r="IL24" s="353"/>
      <c r="IM24" s="353"/>
      <c r="IN24" s="353"/>
      <c r="IO24" s="353"/>
      <c r="IP24" s="353"/>
      <c r="IQ24" s="353"/>
      <c r="IR24" s="353"/>
      <c r="IS24" s="353"/>
      <c r="IT24" s="353"/>
      <c r="IU24" s="353"/>
      <c r="IV24" s="353"/>
      <c r="IW24" s="353"/>
      <c r="IX24" s="353"/>
      <c r="IY24" s="353"/>
      <c r="IZ24" s="353"/>
      <c r="JA24" s="353"/>
      <c r="JB24" s="353"/>
      <c r="JC24" s="353"/>
      <c r="JD24" s="353"/>
      <c r="JE24" s="353"/>
      <c r="JF24" s="353"/>
      <c r="JG24" s="353"/>
      <c r="JH24" s="353"/>
      <c r="JI24" s="353"/>
      <c r="JJ24" s="353"/>
      <c r="JK24" s="353"/>
      <c r="JL24" s="353"/>
      <c r="JM24" s="353"/>
      <c r="JN24" s="353"/>
      <c r="JO24" s="353"/>
      <c r="JP24" s="353"/>
      <c r="JQ24" s="353"/>
      <c r="JR24" s="353"/>
      <c r="JS24" s="353"/>
      <c r="JT24" s="353"/>
      <c r="JU24" s="353"/>
      <c r="JV24" s="353"/>
      <c r="JW24" s="353"/>
      <c r="JX24" s="353"/>
      <c r="JY24" s="353"/>
      <c r="JZ24" s="353"/>
      <c r="KA24" s="353"/>
      <c r="KB24" s="353"/>
      <c r="KC24" s="353"/>
      <c r="KD24" s="353"/>
      <c r="KE24" s="353"/>
      <c r="KF24" s="353"/>
      <c r="KG24" s="353"/>
      <c r="KH24" s="353"/>
      <c r="KI24" s="353"/>
      <c r="KJ24" s="353"/>
      <c r="KK24" s="353"/>
      <c r="KL24" s="353"/>
      <c r="KM24" s="353"/>
      <c r="KN24" s="353"/>
      <c r="KO24" s="353"/>
      <c r="KP24" s="353"/>
      <c r="KQ24" s="353"/>
      <c r="KR24" s="353"/>
      <c r="KS24" s="353"/>
      <c r="KT24" s="353"/>
      <c r="KU24" s="353"/>
      <c r="KV24" s="353"/>
      <c r="KW24" s="353"/>
      <c r="KX24" s="353"/>
      <c r="KY24" s="353"/>
      <c r="KZ24" s="353"/>
      <c r="LA24" s="353"/>
      <c r="LB24" s="353"/>
      <c r="LC24" s="353"/>
      <c r="LD24" s="353"/>
      <c r="LE24" s="353"/>
      <c r="LF24" s="353"/>
      <c r="LG24" s="353"/>
      <c r="LH24" s="353"/>
      <c r="LI24" s="353"/>
      <c r="LJ24" s="353"/>
      <c r="LK24" s="353"/>
      <c r="LL24" s="353"/>
      <c r="LM24" s="353"/>
      <c r="LN24" s="353"/>
      <c r="LO24" s="353"/>
      <c r="LP24" s="353"/>
      <c r="LQ24" s="353"/>
      <c r="LR24" s="353"/>
      <c r="LS24" s="353"/>
      <c r="LT24" s="353"/>
      <c r="LU24" s="353"/>
      <c r="LV24" s="353"/>
      <c r="LW24" s="353"/>
      <c r="LX24" s="353"/>
      <c r="LY24" s="353"/>
      <c r="LZ24" s="353"/>
      <c r="MA24" s="353"/>
      <c r="MB24" s="353"/>
      <c r="MC24" s="353"/>
      <c r="MD24" s="353"/>
      <c r="ME24" s="353"/>
      <c r="MF24" s="353"/>
      <c r="MG24" s="353"/>
      <c r="MH24" s="353"/>
      <c r="MI24" s="353"/>
      <c r="MJ24" s="353"/>
      <c r="MK24" s="353"/>
      <c r="ML24" s="353"/>
      <c r="MM24" s="353"/>
      <c r="MN24" s="353"/>
      <c r="MO24" s="353"/>
      <c r="MP24" s="353"/>
      <c r="MQ24" s="353"/>
      <c r="MR24" s="353"/>
      <c r="MS24" s="353"/>
      <c r="MT24" s="353"/>
      <c r="MU24" s="353"/>
      <c r="MV24" s="353"/>
      <c r="MW24" s="353"/>
      <c r="MX24" s="353"/>
      <c r="MY24" s="353"/>
      <c r="MZ24" s="353"/>
      <c r="NA24" s="353"/>
      <c r="NB24" s="353"/>
      <c r="NC24" s="353"/>
      <c r="ND24" s="353"/>
      <c r="NE24" s="353"/>
      <c r="NF24" s="353"/>
      <c r="NG24" s="353"/>
      <c r="NH24" s="353"/>
      <c r="NI24" s="353"/>
      <c r="NJ24" s="353"/>
      <c r="NK24" s="353"/>
      <c r="NL24" s="353"/>
      <c r="NM24" s="353"/>
      <c r="NN24" s="353"/>
      <c r="NO24" s="353"/>
      <c r="NP24" s="353"/>
      <c r="NQ24" s="353"/>
      <c r="NR24" s="353"/>
      <c r="NS24" s="353"/>
      <c r="NT24" s="353"/>
      <c r="NU24" s="353"/>
      <c r="NV24" s="353"/>
      <c r="NW24" s="353"/>
      <c r="NX24" s="353"/>
      <c r="NY24" s="353"/>
      <c r="NZ24" s="353"/>
      <c r="OA24" s="353"/>
      <c r="OB24" s="353"/>
      <c r="OC24" s="353"/>
      <c r="OD24" s="353"/>
      <c r="OE24" s="353"/>
      <c r="OF24" s="353"/>
      <c r="OG24" s="353"/>
      <c r="OH24" s="353"/>
      <c r="OI24" s="353"/>
      <c r="OJ24" s="353"/>
      <c r="OK24" s="353"/>
      <c r="OL24" s="353"/>
      <c r="OM24" s="353"/>
      <c r="ON24" s="353"/>
      <c r="OO24" s="353"/>
      <c r="OP24" s="353"/>
      <c r="OQ24" s="353"/>
      <c r="OR24" s="353"/>
      <c r="OS24" s="353"/>
      <c r="OT24" s="353"/>
      <c r="OU24" s="353"/>
      <c r="OV24" s="353"/>
      <c r="OW24" s="353"/>
      <c r="OX24" s="353"/>
      <c r="OY24" s="353"/>
      <c r="OZ24" s="353"/>
      <c r="PA24" s="353"/>
      <c r="PB24" s="353"/>
      <c r="PC24" s="353"/>
      <c r="PD24" s="353"/>
      <c r="PE24" s="353"/>
      <c r="PF24" s="353"/>
      <c r="PG24" s="353"/>
      <c r="PH24" s="353"/>
      <c r="PI24" s="353"/>
      <c r="PJ24" s="353"/>
      <c r="PK24" s="353"/>
      <c r="PL24" s="353"/>
      <c r="PM24" s="353"/>
      <c r="PN24" s="353"/>
      <c r="PO24" s="353"/>
      <c r="PP24" s="353"/>
      <c r="PQ24" s="353"/>
      <c r="PR24" s="353"/>
      <c r="PS24" s="353"/>
      <c r="PT24" s="353"/>
      <c r="PU24" s="353"/>
      <c r="PV24" s="353"/>
      <c r="PW24" s="353"/>
      <c r="PX24" s="353"/>
      <c r="PY24" s="353"/>
      <c r="PZ24" s="353"/>
      <c r="QA24" s="353"/>
      <c r="QB24" s="353"/>
      <c r="QC24" s="353"/>
      <c r="QD24" s="353"/>
      <c r="QE24" s="353"/>
      <c r="QF24" s="353"/>
      <c r="QG24" s="353"/>
      <c r="QH24" s="353"/>
      <c r="QI24" s="353"/>
      <c r="QJ24" s="353"/>
      <c r="QK24" s="353"/>
      <c r="QL24" s="353"/>
      <c r="QM24" s="353"/>
      <c r="QN24" s="353"/>
      <c r="QO24" s="353"/>
      <c r="QP24" s="353"/>
      <c r="QQ24" s="353"/>
      <c r="QR24" s="353"/>
      <c r="QS24" s="353"/>
      <c r="QT24" s="353"/>
      <c r="QU24" s="353"/>
      <c r="QV24" s="353"/>
      <c r="QW24" s="353"/>
      <c r="QX24" s="353"/>
      <c r="QY24" s="353"/>
      <c r="QZ24" s="353"/>
      <c r="RA24" s="353"/>
      <c r="RB24" s="353"/>
      <c r="RC24" s="353"/>
      <c r="RD24" s="353"/>
      <c r="RE24" s="353"/>
      <c r="RF24" s="353"/>
      <c r="RG24" s="353"/>
      <c r="RH24" s="353"/>
      <c r="RI24" s="353"/>
      <c r="RJ24" s="353"/>
      <c r="RK24" s="353"/>
      <c r="RL24" s="353"/>
      <c r="RM24" s="353"/>
      <c r="RN24" s="353"/>
      <c r="RO24" s="353"/>
      <c r="RP24" s="353"/>
      <c r="RQ24" s="353"/>
      <c r="RR24" s="353"/>
      <c r="RS24" s="353"/>
      <c r="RT24" s="353"/>
      <c r="RU24" s="353"/>
      <c r="RV24" s="353"/>
      <c r="RW24" s="353"/>
      <c r="RX24" s="353"/>
      <c r="RY24" s="353"/>
      <c r="RZ24" s="353"/>
      <c r="SA24" s="353"/>
      <c r="SB24" s="353"/>
      <c r="SC24" s="353"/>
      <c r="SD24" s="353"/>
      <c r="SE24" s="353"/>
      <c r="SF24" s="353"/>
      <c r="SG24" s="353"/>
      <c r="SH24" s="353"/>
      <c r="SI24" s="353"/>
      <c r="SJ24" s="353"/>
      <c r="SK24" s="353"/>
      <c r="SL24" s="353"/>
      <c r="SM24" s="353"/>
      <c r="SN24" s="353"/>
      <c r="SO24" s="353"/>
      <c r="SP24" s="353"/>
      <c r="SQ24" s="353"/>
      <c r="SR24" s="353"/>
      <c r="SS24" s="353"/>
      <c r="ST24" s="353"/>
      <c r="SU24" s="353"/>
      <c r="SV24" s="353"/>
      <c r="SW24" s="353"/>
      <c r="SX24" s="353"/>
      <c r="SY24" s="353"/>
      <c r="SZ24" s="353"/>
      <c r="TA24" s="353"/>
      <c r="TB24" s="353"/>
      <c r="TC24" s="353"/>
      <c r="TD24" s="353"/>
      <c r="TE24" s="353"/>
      <c r="TF24" s="353"/>
      <c r="TG24" s="353"/>
      <c r="TH24" s="353"/>
      <c r="TI24" s="353"/>
      <c r="TJ24" s="353"/>
      <c r="TK24" s="353"/>
      <c r="TL24" s="353"/>
      <c r="TM24" s="353"/>
      <c r="TN24" s="353"/>
      <c r="TO24" s="353"/>
      <c r="TP24" s="353"/>
      <c r="TQ24" s="353"/>
      <c r="TR24" s="353"/>
      <c r="TS24" s="353"/>
      <c r="TT24" s="353"/>
      <c r="TU24" s="353"/>
      <c r="TV24" s="353"/>
      <c r="TW24" s="353"/>
      <c r="TX24" s="353"/>
      <c r="TY24" s="353"/>
      <c r="TZ24" s="353"/>
      <c r="UA24" s="353"/>
      <c r="UB24" s="353"/>
      <c r="UC24" s="353"/>
      <c r="UD24" s="353"/>
      <c r="UE24" s="353"/>
      <c r="UF24" s="353"/>
      <c r="UG24" s="353"/>
      <c r="UH24" s="353"/>
      <c r="UI24" s="353"/>
      <c r="UJ24" s="353"/>
      <c r="UK24" s="353"/>
      <c r="UL24" s="353"/>
      <c r="UM24" s="353"/>
      <c r="UN24" s="353"/>
      <c r="UO24" s="353"/>
      <c r="UP24" s="353"/>
      <c r="UQ24" s="353"/>
      <c r="UR24" s="353"/>
      <c r="US24" s="353"/>
      <c r="UT24" s="353"/>
      <c r="UU24" s="353"/>
      <c r="UV24" s="353"/>
      <c r="UW24" s="353"/>
      <c r="UX24" s="353"/>
      <c r="UY24" s="353"/>
      <c r="UZ24" s="353"/>
      <c r="VA24" s="353"/>
      <c r="VB24" s="353"/>
      <c r="VC24" s="353"/>
      <c r="VD24" s="353"/>
      <c r="VE24" s="353"/>
      <c r="VF24" s="353"/>
      <c r="VG24" s="353"/>
      <c r="VH24" s="353"/>
      <c r="VI24" s="353"/>
      <c r="VJ24" s="353"/>
      <c r="VK24" s="353"/>
      <c r="VL24" s="353"/>
      <c r="VM24" s="353"/>
      <c r="VN24" s="353"/>
      <c r="VO24" s="353"/>
      <c r="VP24" s="353"/>
      <c r="VQ24" s="353"/>
      <c r="VR24" s="353"/>
      <c r="VS24" s="353"/>
      <c r="VT24" s="353"/>
      <c r="VU24" s="353"/>
      <c r="VV24" s="353"/>
      <c r="VW24" s="353"/>
      <c r="VX24" s="353"/>
      <c r="VY24" s="353"/>
      <c r="VZ24" s="353"/>
      <c r="WA24" s="353"/>
      <c r="WB24" s="353"/>
      <c r="WC24" s="353"/>
      <c r="WD24" s="353"/>
      <c r="WE24" s="353"/>
      <c r="WF24" s="353"/>
      <c r="WG24" s="353"/>
      <c r="WH24" s="353"/>
      <c r="WI24" s="353"/>
      <c r="WJ24" s="353"/>
      <c r="WK24" s="353"/>
      <c r="WL24" s="353"/>
      <c r="WM24" s="353"/>
      <c r="WN24" s="353"/>
      <c r="WO24" s="353"/>
      <c r="WP24" s="353"/>
      <c r="WQ24" s="353"/>
      <c r="WR24" s="353"/>
      <c r="WS24" s="353"/>
      <c r="WT24" s="353"/>
      <c r="WU24" s="353"/>
      <c r="WV24" s="353"/>
      <c r="WW24" s="353"/>
      <c r="WX24" s="353"/>
      <c r="WY24" s="353"/>
      <c r="WZ24" s="353"/>
      <c r="XA24" s="353"/>
      <c r="XB24" s="353"/>
      <c r="XC24" s="353"/>
      <c r="XD24" s="353"/>
      <c r="XE24" s="353"/>
      <c r="XF24" s="353"/>
      <c r="XG24" s="353"/>
      <c r="XH24" s="353"/>
      <c r="XI24" s="353"/>
      <c r="XJ24" s="353"/>
      <c r="XK24" s="353"/>
      <c r="XL24" s="353"/>
      <c r="XM24" s="353"/>
      <c r="XN24" s="353"/>
      <c r="XO24" s="353"/>
      <c r="XP24" s="353"/>
      <c r="XQ24" s="353"/>
      <c r="XR24" s="353"/>
      <c r="XS24" s="353"/>
      <c r="XT24" s="353"/>
      <c r="XU24" s="353"/>
      <c r="XV24" s="353"/>
      <c r="XW24" s="353"/>
      <c r="XX24" s="353"/>
      <c r="XY24" s="353"/>
      <c r="XZ24" s="353"/>
      <c r="YA24" s="353"/>
      <c r="YB24" s="353"/>
      <c r="YC24" s="353"/>
      <c r="YD24" s="353"/>
      <c r="YE24" s="353"/>
      <c r="YF24" s="353"/>
      <c r="YG24" s="353"/>
      <c r="YH24" s="353"/>
      <c r="YI24" s="353"/>
      <c r="YJ24" s="353"/>
      <c r="YK24" s="353"/>
      <c r="YL24" s="353"/>
      <c r="YM24" s="353"/>
      <c r="YN24" s="353"/>
      <c r="YO24" s="353"/>
      <c r="YP24" s="353"/>
      <c r="YQ24" s="353"/>
      <c r="YR24" s="353"/>
      <c r="YS24" s="353"/>
      <c r="YT24" s="353"/>
      <c r="YU24" s="353"/>
      <c r="YV24" s="353"/>
      <c r="YW24" s="353"/>
      <c r="YX24" s="353"/>
      <c r="YY24" s="353"/>
      <c r="YZ24" s="353"/>
      <c r="ZA24" s="353"/>
      <c r="ZB24" s="353"/>
      <c r="ZC24" s="353"/>
      <c r="ZD24" s="353"/>
      <c r="ZE24" s="353"/>
      <c r="ZF24" s="353"/>
      <c r="ZG24" s="353"/>
      <c r="ZH24" s="353"/>
      <c r="ZI24" s="353"/>
      <c r="ZJ24" s="353"/>
      <c r="ZK24" s="353"/>
      <c r="ZL24" s="353"/>
      <c r="ZM24" s="353"/>
      <c r="ZN24" s="353"/>
      <c r="ZO24" s="353"/>
      <c r="ZP24" s="353"/>
      <c r="ZQ24" s="353"/>
      <c r="ZR24" s="353"/>
      <c r="ZS24" s="353"/>
      <c r="ZT24" s="353"/>
      <c r="ZU24" s="353"/>
      <c r="ZV24" s="353"/>
      <c r="ZW24" s="353"/>
      <c r="ZX24" s="353"/>
      <c r="ZY24" s="353"/>
      <c r="ZZ24" s="353"/>
      <c r="AAA24" s="353"/>
      <c r="AAB24" s="353"/>
      <c r="AAC24" s="353"/>
      <c r="AAD24" s="353"/>
      <c r="AAE24" s="353"/>
      <c r="AAF24" s="353"/>
      <c r="AAG24" s="353"/>
      <c r="AAH24" s="353"/>
      <c r="AAI24" s="353"/>
      <c r="AAJ24" s="353"/>
      <c r="AAK24" s="353"/>
      <c r="AAL24" s="353"/>
      <c r="AAM24" s="353"/>
      <c r="AAN24" s="353"/>
      <c r="AAO24" s="353"/>
      <c r="AAP24" s="353"/>
      <c r="AAQ24" s="353"/>
      <c r="AAR24" s="353"/>
      <c r="AAS24" s="353"/>
      <c r="AAT24" s="353"/>
      <c r="AAU24" s="353"/>
      <c r="AAV24" s="353"/>
      <c r="AAW24" s="353"/>
      <c r="AAX24" s="353"/>
      <c r="AAY24" s="353"/>
      <c r="AAZ24" s="353"/>
      <c r="ABA24" s="353"/>
      <c r="ABB24" s="353"/>
      <c r="ABC24" s="353"/>
      <c r="ABD24" s="353"/>
      <c r="ABE24" s="353"/>
      <c r="ABF24" s="353"/>
      <c r="ABG24" s="353"/>
      <c r="ABH24" s="353"/>
      <c r="ABI24" s="353"/>
      <c r="ABJ24" s="353"/>
      <c r="ABK24" s="353"/>
      <c r="ABL24" s="353"/>
      <c r="ABM24" s="353"/>
      <c r="ABN24" s="353"/>
      <c r="ABO24" s="353"/>
      <c r="ABP24" s="353"/>
      <c r="ABQ24" s="353"/>
      <c r="ABR24" s="353"/>
      <c r="ABS24" s="353"/>
      <c r="ABT24" s="353"/>
      <c r="ABU24" s="353"/>
      <c r="ABV24" s="353"/>
      <c r="ABW24" s="353"/>
      <c r="ABX24" s="353"/>
      <c r="ABY24" s="353"/>
      <c r="ABZ24" s="353"/>
      <c r="ACA24" s="353"/>
      <c r="ACB24" s="353"/>
      <c r="ACC24" s="353"/>
      <c r="ACD24" s="353"/>
      <c r="ACE24" s="353"/>
      <c r="ACF24" s="353"/>
      <c r="ACG24" s="353"/>
      <c r="ACH24" s="353"/>
      <c r="ACI24" s="353"/>
      <c r="ACJ24" s="353"/>
      <c r="ACK24" s="353"/>
      <c r="ACL24" s="353"/>
      <c r="ACM24" s="353"/>
      <c r="ACN24" s="353"/>
      <c r="ACO24" s="353"/>
      <c r="ACP24" s="353"/>
      <c r="ACQ24" s="353"/>
      <c r="ACR24" s="353"/>
      <c r="ACS24" s="353"/>
      <c r="ACT24" s="353"/>
      <c r="ACU24" s="353"/>
      <c r="ACV24" s="353"/>
      <c r="ACW24" s="353"/>
      <c r="ACX24" s="353"/>
      <c r="ACY24" s="353"/>
      <c r="ACZ24" s="353"/>
      <c r="ADA24" s="353"/>
      <c r="ADB24" s="353"/>
      <c r="ADC24" s="353"/>
      <c r="ADD24" s="353"/>
      <c r="ADE24" s="353"/>
      <c r="ADF24" s="353"/>
      <c r="ADG24" s="353"/>
      <c r="ADH24" s="353"/>
      <c r="ADI24" s="353"/>
      <c r="ADJ24" s="353"/>
      <c r="ADK24" s="353"/>
      <c r="ADL24" s="353"/>
      <c r="ADM24" s="353"/>
      <c r="ADN24" s="353"/>
      <c r="ADO24" s="353"/>
      <c r="ADP24" s="353"/>
      <c r="ADQ24" s="353"/>
      <c r="ADR24" s="353"/>
      <c r="ADS24" s="353"/>
      <c r="ADT24" s="353"/>
      <c r="ADU24" s="353"/>
      <c r="ADV24" s="353"/>
      <c r="ADW24" s="353"/>
      <c r="ADX24" s="353"/>
      <c r="ADY24" s="353"/>
      <c r="ADZ24" s="353"/>
      <c r="AEA24" s="353"/>
      <c r="AEB24" s="353"/>
      <c r="AEC24" s="353"/>
      <c r="AED24" s="353"/>
      <c r="AEE24" s="353"/>
      <c r="AEF24" s="353"/>
      <c r="AEG24" s="353"/>
      <c r="AEH24" s="353"/>
      <c r="AEI24" s="353"/>
      <c r="AEJ24" s="353"/>
      <c r="AEK24" s="353"/>
      <c r="AEL24" s="353"/>
      <c r="AEM24" s="353"/>
      <c r="AEN24" s="353"/>
      <c r="AEO24" s="353"/>
      <c r="AEP24" s="353"/>
      <c r="AEQ24" s="353"/>
      <c r="AER24" s="353"/>
      <c r="AES24" s="353"/>
      <c r="AET24" s="353"/>
      <c r="AEU24" s="353"/>
      <c r="AEV24" s="353"/>
      <c r="AEW24" s="353"/>
      <c r="AEX24" s="353"/>
      <c r="AEY24" s="353"/>
      <c r="AEZ24" s="353"/>
      <c r="AFA24" s="353"/>
      <c r="AFB24" s="353"/>
      <c r="AFC24" s="353"/>
      <c r="AFD24" s="353"/>
      <c r="AFE24" s="353"/>
      <c r="AFF24" s="353"/>
      <c r="AFG24" s="353"/>
      <c r="AFH24" s="353"/>
      <c r="AFI24" s="353"/>
      <c r="AFJ24" s="353"/>
      <c r="AFK24" s="353"/>
      <c r="AFL24" s="353"/>
      <c r="AFM24" s="353"/>
      <c r="AFN24" s="353"/>
      <c r="AFO24" s="353"/>
      <c r="AFP24" s="353"/>
      <c r="AFQ24" s="353"/>
      <c r="AFR24" s="353"/>
      <c r="AFS24" s="353"/>
      <c r="AFT24" s="353"/>
      <c r="AFU24" s="353"/>
      <c r="AFV24" s="353"/>
      <c r="AFW24" s="353"/>
      <c r="AFX24" s="353"/>
      <c r="AFY24" s="353"/>
      <c r="AFZ24" s="353"/>
      <c r="AGA24" s="353"/>
      <c r="AGB24" s="353"/>
      <c r="AGC24" s="353"/>
      <c r="AGD24" s="353"/>
      <c r="AGE24" s="353"/>
      <c r="AGF24" s="353"/>
      <c r="AGG24" s="353"/>
      <c r="AGH24" s="353"/>
      <c r="AGI24" s="353"/>
      <c r="AGJ24" s="353"/>
      <c r="AGK24" s="353"/>
      <c r="AGL24" s="353"/>
      <c r="AGM24" s="353"/>
      <c r="AGN24" s="353"/>
      <c r="AGO24" s="353"/>
      <c r="AGP24" s="353"/>
      <c r="AGQ24" s="353"/>
      <c r="AGR24" s="353"/>
      <c r="AGS24" s="353"/>
      <c r="AGT24" s="353"/>
      <c r="AGU24" s="353"/>
      <c r="AGV24" s="353"/>
      <c r="AGW24" s="353"/>
      <c r="AGX24" s="353"/>
      <c r="AGY24" s="353"/>
      <c r="AGZ24" s="353"/>
      <c r="AHA24" s="353"/>
      <c r="AHB24" s="353"/>
      <c r="AHC24" s="353"/>
      <c r="AHD24" s="353"/>
      <c r="AHE24" s="353"/>
      <c r="AHF24" s="353"/>
      <c r="AHG24" s="353"/>
      <c r="AHH24" s="353"/>
      <c r="AHI24" s="353"/>
      <c r="AHJ24" s="353"/>
      <c r="AHK24" s="353"/>
      <c r="AHL24" s="353"/>
      <c r="AHM24" s="353"/>
      <c r="AHN24" s="353"/>
      <c r="AHO24" s="353"/>
      <c r="AHP24" s="353"/>
      <c r="AHQ24" s="353"/>
      <c r="AHR24" s="353"/>
      <c r="AHS24" s="353"/>
      <c r="AHT24" s="353"/>
      <c r="AHU24" s="353"/>
      <c r="AHV24" s="353"/>
      <c r="AHW24" s="353"/>
      <c r="AHX24" s="353"/>
      <c r="AHY24" s="353"/>
      <c r="AHZ24" s="353"/>
      <c r="AIA24" s="353"/>
      <c r="AIB24" s="353"/>
      <c r="AIC24" s="353"/>
      <c r="AID24" s="353"/>
      <c r="AIE24" s="353"/>
      <c r="AIF24" s="353"/>
      <c r="AIG24" s="353"/>
      <c r="AIH24" s="353"/>
      <c r="AII24" s="353"/>
      <c r="AIJ24" s="353"/>
      <c r="AIK24" s="353"/>
      <c r="AIL24" s="353"/>
      <c r="AIM24" s="353"/>
      <c r="AIN24" s="353"/>
      <c r="AIO24" s="353"/>
      <c r="AIP24" s="353"/>
      <c r="AIQ24" s="353"/>
      <c r="AIR24" s="353"/>
      <c r="AIS24" s="353"/>
      <c r="AIT24" s="353"/>
      <c r="AIU24" s="353"/>
      <c r="AIV24" s="353"/>
      <c r="AIW24" s="353"/>
      <c r="AIX24" s="353"/>
      <c r="AIY24" s="353"/>
      <c r="AIZ24" s="353"/>
      <c r="AJA24" s="353"/>
      <c r="AJB24" s="353"/>
      <c r="AJC24" s="353"/>
      <c r="AJD24" s="353"/>
      <c r="AJE24" s="353"/>
      <c r="AJF24" s="353"/>
      <c r="AJG24" s="353"/>
      <c r="AJH24" s="353"/>
      <c r="AJI24" s="353"/>
      <c r="AJJ24" s="353"/>
      <c r="AJK24" s="353"/>
      <c r="AJL24" s="353"/>
      <c r="AJM24" s="353"/>
      <c r="AJN24" s="353"/>
      <c r="AJO24" s="353"/>
      <c r="AJP24" s="353"/>
      <c r="AJQ24" s="353"/>
      <c r="AJR24" s="353"/>
      <c r="AJS24" s="353"/>
      <c r="AJT24" s="353"/>
      <c r="AJU24" s="353"/>
      <c r="AJV24" s="353"/>
      <c r="AJW24" s="353"/>
      <c r="AJX24" s="353"/>
      <c r="AJY24" s="353"/>
      <c r="AJZ24" s="353"/>
      <c r="AKA24" s="353"/>
      <c r="AKB24" s="353"/>
      <c r="AKC24" s="353"/>
      <c r="AKD24" s="353"/>
      <c r="AKE24" s="353"/>
      <c r="AKF24" s="353"/>
      <c r="AKG24" s="353"/>
      <c r="AKH24" s="353"/>
      <c r="AKI24" s="353"/>
      <c r="AKJ24" s="353"/>
      <c r="AKK24" s="353"/>
      <c r="AKL24" s="353"/>
      <c r="AKM24" s="353"/>
      <c r="AKN24" s="353"/>
      <c r="AKO24" s="353"/>
      <c r="AKP24" s="353"/>
      <c r="AKQ24" s="353"/>
      <c r="AKR24" s="353"/>
      <c r="AKS24" s="353"/>
      <c r="AKT24" s="353"/>
      <c r="AKU24" s="353"/>
      <c r="AKV24" s="353"/>
      <c r="AKW24" s="353"/>
      <c r="AKX24" s="353"/>
      <c r="AKY24" s="353"/>
      <c r="AKZ24" s="353"/>
      <c r="ALA24" s="353"/>
      <c r="ALB24" s="353"/>
      <c r="ALC24" s="353"/>
      <c r="ALD24" s="353"/>
      <c r="ALE24" s="353"/>
      <c r="ALF24" s="353"/>
      <c r="ALG24" s="353"/>
      <c r="ALH24" s="353"/>
      <c r="ALI24" s="353"/>
      <c r="ALJ24" s="353"/>
      <c r="ALK24" s="353"/>
      <c r="ALL24" s="353"/>
      <c r="ALM24" s="353"/>
      <c r="ALN24" s="353"/>
      <c r="ALO24" s="353"/>
      <c r="ALP24" s="353"/>
      <c r="ALQ24" s="353"/>
      <c r="ALR24" s="353"/>
      <c r="ALS24" s="353"/>
      <c r="ALT24" s="353"/>
      <c r="ALU24" s="353"/>
      <c r="ALV24" s="353"/>
      <c r="ALW24" s="353"/>
      <c r="ALX24" s="353"/>
      <c r="ALY24" s="353"/>
      <c r="ALZ24" s="353"/>
      <c r="AMA24" s="353"/>
      <c r="AMB24" s="353"/>
      <c r="AMC24" s="353"/>
      <c r="AMD24" s="353"/>
      <c r="AME24" s="353"/>
      <c r="AMF24" s="353"/>
      <c r="AMG24" s="353"/>
      <c r="AMH24" s="353"/>
      <c r="AMI24" s="353"/>
      <c r="AMJ24" s="353"/>
      <c r="AMK24" s="353"/>
      <c r="AML24" s="353"/>
      <c r="AMM24" s="353"/>
      <c r="AMN24" s="353"/>
      <c r="AMO24" s="353"/>
      <c r="AMP24" s="353"/>
    </row>
    <row r="25" spans="2:1030" s="354" customFormat="1" ht="12.75" x14ac:dyDescent="0.2">
      <c r="B25" s="404">
        <f t="shared" si="13"/>
        <v>12</v>
      </c>
      <c r="C25" s="405" t="s">
        <v>315</v>
      </c>
      <c r="D25" s="406" t="s">
        <v>315</v>
      </c>
      <c r="E25" s="406" t="s">
        <v>316</v>
      </c>
      <c r="F25" s="407" t="s">
        <v>317</v>
      </c>
      <c r="G25" s="407" t="s">
        <v>318</v>
      </c>
      <c r="H25" s="408" t="s">
        <v>22</v>
      </c>
      <c r="I25" s="408" t="s">
        <v>21</v>
      </c>
      <c r="J25" s="408" t="s">
        <v>35</v>
      </c>
      <c r="K25" s="408" t="s">
        <v>35</v>
      </c>
      <c r="L25" s="408" t="s">
        <v>37</v>
      </c>
      <c r="M25" s="408" t="s">
        <v>35</v>
      </c>
      <c r="N25" s="409">
        <v>35165833.649999999</v>
      </c>
      <c r="O25" s="409">
        <v>0</v>
      </c>
      <c r="P25" s="409">
        <v>9133022.0270636082</v>
      </c>
      <c r="Q25" s="409">
        <f t="shared" si="4"/>
        <v>0</v>
      </c>
      <c r="R25" s="409">
        <f t="shared" si="5"/>
        <v>35165833.649999999</v>
      </c>
      <c r="S25" s="410">
        <f t="shared" si="6"/>
        <v>31649250</v>
      </c>
      <c r="T25" s="409">
        <f t="shared" si="7"/>
        <v>31649250</v>
      </c>
      <c r="U25" s="411">
        <f t="shared" si="8"/>
        <v>11118382</v>
      </c>
      <c r="V25" s="411">
        <f t="shared" si="9"/>
        <v>3516583.6499999985</v>
      </c>
      <c r="W25" s="412">
        <v>0</v>
      </c>
      <c r="X25" s="412">
        <v>0</v>
      </c>
      <c r="Y25" s="411">
        <f t="shared" si="10"/>
        <v>31649250</v>
      </c>
      <c r="Z25" s="411">
        <f t="shared" si="10"/>
        <v>11118382</v>
      </c>
      <c r="AA25" s="411">
        <f t="shared" si="11"/>
        <v>0</v>
      </c>
      <c r="AB25" s="383"/>
      <c r="AC25" s="413"/>
      <c r="AD25" s="413" t="str">
        <f t="shared" si="12"/>
        <v/>
      </c>
      <c r="AE25" s="414" t="str">
        <f>IF($AD25="","",COUNTIFS($AD$14:AD25,"Yes"))</f>
        <v/>
      </c>
      <c r="AF25" s="413" t="b">
        <f>IF(C25="", "", AND(INDEX('Summary Dynamic'!$D$8:$D$10, MATCH(H25, 'Summary Dynamic'!$C$8:$C$10, 0))="Include", INDEX('Summary Dynamic'!$D$12:$D$14, MATCH(I25, 'Summary Dynamic'!$C$12:$C$14, 0))="Include", INDEX('Summary Dynamic'!$D$16:$D$17, MATCH(J25, 'Summary Dynamic'!$C$16:$C$17, 0))="Include", INDEX('Summary Dynamic'!$D$19:$D$20, MATCH(K25, 'Summary Dynamic'!$C$19:$C$20, 0))="Include", INDEX('Summary Dynamic'!$D$22:$D$23, MATCH(L25, 'Summary Dynamic'!$C$22:$C$23, 0))="Include", INDEX('Summary Dynamic'!$D$25:$D$26, MATCH(M25, 'Summary Dynamic'!$C$25:$C$26, 0))="Include"))</f>
        <v>1</v>
      </c>
      <c r="AG25" s="414">
        <f>IFERROR(IF(C25="", "", IF(AF25=TRUE, COUNTIFS($AF$14:AF25, TRUE), "n/a")), "n/a")</f>
        <v>12</v>
      </c>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3"/>
      <c r="DU25" s="353"/>
      <c r="DV25" s="353"/>
      <c r="DW25" s="353"/>
      <c r="DX25" s="353"/>
      <c r="DY25" s="353"/>
      <c r="DZ25" s="353"/>
      <c r="EA25" s="353"/>
      <c r="EB25" s="353"/>
      <c r="EC25" s="353"/>
      <c r="ED25" s="353"/>
      <c r="EE25" s="353"/>
      <c r="EF25" s="353"/>
      <c r="EG25" s="353"/>
      <c r="EH25" s="353"/>
      <c r="EI25" s="353"/>
      <c r="EJ25" s="353"/>
      <c r="EK25" s="353"/>
      <c r="EL25" s="353"/>
      <c r="EM25" s="353"/>
      <c r="EN25" s="353"/>
      <c r="EO25" s="353"/>
      <c r="EP25" s="353"/>
      <c r="EQ25" s="353"/>
      <c r="ER25" s="353"/>
      <c r="ES25" s="353"/>
      <c r="ET25" s="353"/>
      <c r="EU25" s="353"/>
      <c r="EV25" s="353"/>
      <c r="EW25" s="353"/>
      <c r="EX25" s="353"/>
      <c r="EY25" s="353"/>
      <c r="EZ25" s="353"/>
      <c r="FA25" s="353"/>
      <c r="FB25" s="353"/>
      <c r="FC25" s="353"/>
      <c r="FD25" s="353"/>
      <c r="FE25" s="353"/>
      <c r="FF25" s="353"/>
      <c r="FG25" s="353"/>
      <c r="FH25" s="353"/>
      <c r="FI25" s="353"/>
      <c r="FJ25" s="353"/>
      <c r="FK25" s="353"/>
      <c r="FL25" s="353"/>
      <c r="FM25" s="353"/>
      <c r="FN25" s="353"/>
      <c r="FO25" s="353"/>
      <c r="FP25" s="353"/>
      <c r="FQ25" s="353"/>
      <c r="FR25" s="353"/>
      <c r="FS25" s="353"/>
      <c r="FT25" s="353"/>
      <c r="FU25" s="353"/>
      <c r="FV25" s="353"/>
      <c r="FW25" s="353"/>
      <c r="FX25" s="353"/>
      <c r="FY25" s="353"/>
      <c r="FZ25" s="353"/>
      <c r="GA25" s="353"/>
      <c r="GB25" s="353"/>
      <c r="GC25" s="353"/>
      <c r="GD25" s="353"/>
      <c r="GE25" s="353"/>
      <c r="GF25" s="353"/>
      <c r="GG25" s="353"/>
      <c r="GH25" s="353"/>
      <c r="GI25" s="353"/>
      <c r="GJ25" s="353"/>
      <c r="GK25" s="353"/>
      <c r="GL25" s="353"/>
      <c r="GM25" s="353"/>
      <c r="GN25" s="353"/>
      <c r="GO25" s="353"/>
      <c r="GP25" s="353"/>
      <c r="GQ25" s="353"/>
      <c r="GR25" s="353"/>
      <c r="GS25" s="353"/>
      <c r="GT25" s="353"/>
      <c r="GU25" s="353"/>
      <c r="GV25" s="353"/>
      <c r="GW25" s="353"/>
      <c r="GX25" s="353"/>
      <c r="GY25" s="353"/>
      <c r="GZ25" s="353"/>
      <c r="HA25" s="353"/>
      <c r="HB25" s="353"/>
      <c r="HC25" s="353"/>
      <c r="HD25" s="353"/>
      <c r="HE25" s="353"/>
      <c r="HF25" s="353"/>
      <c r="HG25" s="353"/>
      <c r="HH25" s="353"/>
      <c r="HI25" s="353"/>
      <c r="HJ25" s="353"/>
      <c r="HK25" s="353"/>
      <c r="HL25" s="353"/>
      <c r="HM25" s="353"/>
      <c r="HN25" s="353"/>
      <c r="HO25" s="353"/>
      <c r="HP25" s="353"/>
      <c r="HQ25" s="353"/>
      <c r="HR25" s="353"/>
      <c r="HS25" s="353"/>
      <c r="HT25" s="353"/>
      <c r="HU25" s="353"/>
      <c r="HV25" s="353"/>
      <c r="HW25" s="353"/>
      <c r="HX25" s="353"/>
      <c r="HY25" s="353"/>
      <c r="HZ25" s="353"/>
      <c r="IA25" s="353"/>
      <c r="IB25" s="353"/>
      <c r="IC25" s="353"/>
      <c r="ID25" s="353"/>
      <c r="IE25" s="353"/>
      <c r="IF25" s="353"/>
      <c r="IG25" s="353"/>
      <c r="IH25" s="353"/>
      <c r="II25" s="353"/>
      <c r="IJ25" s="353"/>
      <c r="IK25" s="353"/>
      <c r="IL25" s="353"/>
      <c r="IM25" s="353"/>
      <c r="IN25" s="353"/>
      <c r="IO25" s="353"/>
      <c r="IP25" s="353"/>
      <c r="IQ25" s="353"/>
      <c r="IR25" s="353"/>
      <c r="IS25" s="353"/>
      <c r="IT25" s="353"/>
      <c r="IU25" s="353"/>
      <c r="IV25" s="353"/>
      <c r="IW25" s="353"/>
      <c r="IX25" s="353"/>
      <c r="IY25" s="353"/>
      <c r="IZ25" s="353"/>
      <c r="JA25" s="353"/>
      <c r="JB25" s="353"/>
      <c r="JC25" s="353"/>
      <c r="JD25" s="353"/>
      <c r="JE25" s="353"/>
      <c r="JF25" s="353"/>
      <c r="JG25" s="353"/>
      <c r="JH25" s="353"/>
      <c r="JI25" s="353"/>
      <c r="JJ25" s="353"/>
      <c r="JK25" s="353"/>
      <c r="JL25" s="353"/>
      <c r="JM25" s="353"/>
      <c r="JN25" s="353"/>
      <c r="JO25" s="353"/>
      <c r="JP25" s="353"/>
      <c r="JQ25" s="353"/>
      <c r="JR25" s="353"/>
      <c r="JS25" s="353"/>
      <c r="JT25" s="353"/>
      <c r="JU25" s="353"/>
      <c r="JV25" s="353"/>
      <c r="JW25" s="353"/>
      <c r="JX25" s="353"/>
      <c r="JY25" s="353"/>
      <c r="JZ25" s="353"/>
      <c r="KA25" s="353"/>
      <c r="KB25" s="353"/>
      <c r="KC25" s="353"/>
      <c r="KD25" s="353"/>
      <c r="KE25" s="353"/>
      <c r="KF25" s="353"/>
      <c r="KG25" s="353"/>
      <c r="KH25" s="353"/>
      <c r="KI25" s="353"/>
      <c r="KJ25" s="353"/>
      <c r="KK25" s="353"/>
      <c r="KL25" s="353"/>
      <c r="KM25" s="353"/>
      <c r="KN25" s="353"/>
      <c r="KO25" s="353"/>
      <c r="KP25" s="353"/>
      <c r="KQ25" s="353"/>
      <c r="KR25" s="353"/>
      <c r="KS25" s="353"/>
      <c r="KT25" s="353"/>
      <c r="KU25" s="353"/>
      <c r="KV25" s="353"/>
      <c r="KW25" s="353"/>
      <c r="KX25" s="353"/>
      <c r="KY25" s="353"/>
      <c r="KZ25" s="353"/>
      <c r="LA25" s="353"/>
      <c r="LB25" s="353"/>
      <c r="LC25" s="353"/>
      <c r="LD25" s="353"/>
      <c r="LE25" s="353"/>
      <c r="LF25" s="353"/>
      <c r="LG25" s="353"/>
      <c r="LH25" s="353"/>
      <c r="LI25" s="353"/>
      <c r="LJ25" s="353"/>
      <c r="LK25" s="353"/>
      <c r="LL25" s="353"/>
      <c r="LM25" s="353"/>
      <c r="LN25" s="353"/>
      <c r="LO25" s="353"/>
      <c r="LP25" s="353"/>
      <c r="LQ25" s="353"/>
      <c r="LR25" s="353"/>
      <c r="LS25" s="353"/>
      <c r="LT25" s="353"/>
      <c r="LU25" s="353"/>
      <c r="LV25" s="353"/>
      <c r="LW25" s="353"/>
      <c r="LX25" s="353"/>
      <c r="LY25" s="353"/>
      <c r="LZ25" s="353"/>
      <c r="MA25" s="353"/>
      <c r="MB25" s="353"/>
      <c r="MC25" s="353"/>
      <c r="MD25" s="353"/>
      <c r="ME25" s="353"/>
      <c r="MF25" s="353"/>
      <c r="MG25" s="353"/>
      <c r="MH25" s="353"/>
      <c r="MI25" s="353"/>
      <c r="MJ25" s="353"/>
      <c r="MK25" s="353"/>
      <c r="ML25" s="353"/>
      <c r="MM25" s="353"/>
      <c r="MN25" s="353"/>
      <c r="MO25" s="353"/>
      <c r="MP25" s="353"/>
      <c r="MQ25" s="353"/>
      <c r="MR25" s="353"/>
      <c r="MS25" s="353"/>
      <c r="MT25" s="353"/>
      <c r="MU25" s="353"/>
      <c r="MV25" s="353"/>
      <c r="MW25" s="353"/>
      <c r="MX25" s="353"/>
      <c r="MY25" s="353"/>
      <c r="MZ25" s="353"/>
      <c r="NA25" s="353"/>
      <c r="NB25" s="353"/>
      <c r="NC25" s="353"/>
      <c r="ND25" s="353"/>
      <c r="NE25" s="353"/>
      <c r="NF25" s="353"/>
      <c r="NG25" s="353"/>
      <c r="NH25" s="353"/>
      <c r="NI25" s="353"/>
      <c r="NJ25" s="353"/>
      <c r="NK25" s="353"/>
      <c r="NL25" s="353"/>
      <c r="NM25" s="353"/>
      <c r="NN25" s="353"/>
      <c r="NO25" s="353"/>
      <c r="NP25" s="353"/>
      <c r="NQ25" s="353"/>
      <c r="NR25" s="353"/>
      <c r="NS25" s="353"/>
      <c r="NT25" s="353"/>
      <c r="NU25" s="353"/>
      <c r="NV25" s="353"/>
      <c r="NW25" s="353"/>
      <c r="NX25" s="353"/>
      <c r="NY25" s="353"/>
      <c r="NZ25" s="353"/>
      <c r="OA25" s="353"/>
      <c r="OB25" s="353"/>
      <c r="OC25" s="353"/>
      <c r="OD25" s="353"/>
      <c r="OE25" s="353"/>
      <c r="OF25" s="353"/>
      <c r="OG25" s="353"/>
      <c r="OH25" s="353"/>
      <c r="OI25" s="353"/>
      <c r="OJ25" s="353"/>
      <c r="OK25" s="353"/>
      <c r="OL25" s="353"/>
      <c r="OM25" s="353"/>
      <c r="ON25" s="353"/>
      <c r="OO25" s="353"/>
      <c r="OP25" s="353"/>
      <c r="OQ25" s="353"/>
      <c r="OR25" s="353"/>
      <c r="OS25" s="353"/>
      <c r="OT25" s="353"/>
      <c r="OU25" s="353"/>
      <c r="OV25" s="353"/>
      <c r="OW25" s="353"/>
      <c r="OX25" s="353"/>
      <c r="OY25" s="353"/>
      <c r="OZ25" s="353"/>
      <c r="PA25" s="353"/>
      <c r="PB25" s="353"/>
      <c r="PC25" s="353"/>
      <c r="PD25" s="353"/>
      <c r="PE25" s="353"/>
      <c r="PF25" s="353"/>
      <c r="PG25" s="353"/>
      <c r="PH25" s="353"/>
      <c r="PI25" s="353"/>
      <c r="PJ25" s="353"/>
      <c r="PK25" s="353"/>
      <c r="PL25" s="353"/>
      <c r="PM25" s="353"/>
      <c r="PN25" s="353"/>
      <c r="PO25" s="353"/>
      <c r="PP25" s="353"/>
      <c r="PQ25" s="353"/>
      <c r="PR25" s="353"/>
      <c r="PS25" s="353"/>
      <c r="PT25" s="353"/>
      <c r="PU25" s="353"/>
      <c r="PV25" s="353"/>
      <c r="PW25" s="353"/>
      <c r="PX25" s="353"/>
      <c r="PY25" s="353"/>
      <c r="PZ25" s="353"/>
      <c r="QA25" s="353"/>
      <c r="QB25" s="353"/>
      <c r="QC25" s="353"/>
      <c r="QD25" s="353"/>
      <c r="QE25" s="353"/>
      <c r="QF25" s="353"/>
      <c r="QG25" s="353"/>
      <c r="QH25" s="353"/>
      <c r="QI25" s="353"/>
      <c r="QJ25" s="353"/>
      <c r="QK25" s="353"/>
      <c r="QL25" s="353"/>
      <c r="QM25" s="353"/>
      <c r="QN25" s="353"/>
      <c r="QO25" s="353"/>
      <c r="QP25" s="353"/>
      <c r="QQ25" s="353"/>
      <c r="QR25" s="353"/>
      <c r="QS25" s="353"/>
      <c r="QT25" s="353"/>
      <c r="QU25" s="353"/>
      <c r="QV25" s="353"/>
      <c r="QW25" s="353"/>
      <c r="QX25" s="353"/>
      <c r="QY25" s="353"/>
      <c r="QZ25" s="353"/>
      <c r="RA25" s="353"/>
      <c r="RB25" s="353"/>
      <c r="RC25" s="353"/>
      <c r="RD25" s="353"/>
      <c r="RE25" s="353"/>
      <c r="RF25" s="353"/>
      <c r="RG25" s="353"/>
      <c r="RH25" s="353"/>
      <c r="RI25" s="353"/>
      <c r="RJ25" s="353"/>
      <c r="RK25" s="353"/>
      <c r="RL25" s="353"/>
      <c r="RM25" s="353"/>
      <c r="RN25" s="353"/>
      <c r="RO25" s="353"/>
      <c r="RP25" s="353"/>
      <c r="RQ25" s="353"/>
      <c r="RR25" s="353"/>
      <c r="RS25" s="353"/>
      <c r="RT25" s="353"/>
      <c r="RU25" s="353"/>
      <c r="RV25" s="353"/>
      <c r="RW25" s="353"/>
      <c r="RX25" s="353"/>
      <c r="RY25" s="353"/>
      <c r="RZ25" s="353"/>
      <c r="SA25" s="353"/>
      <c r="SB25" s="353"/>
      <c r="SC25" s="353"/>
      <c r="SD25" s="353"/>
      <c r="SE25" s="353"/>
      <c r="SF25" s="353"/>
      <c r="SG25" s="353"/>
      <c r="SH25" s="353"/>
      <c r="SI25" s="353"/>
      <c r="SJ25" s="353"/>
      <c r="SK25" s="353"/>
      <c r="SL25" s="353"/>
      <c r="SM25" s="353"/>
      <c r="SN25" s="353"/>
      <c r="SO25" s="353"/>
      <c r="SP25" s="353"/>
      <c r="SQ25" s="353"/>
      <c r="SR25" s="353"/>
      <c r="SS25" s="353"/>
      <c r="ST25" s="353"/>
      <c r="SU25" s="353"/>
      <c r="SV25" s="353"/>
      <c r="SW25" s="353"/>
      <c r="SX25" s="353"/>
      <c r="SY25" s="353"/>
      <c r="SZ25" s="353"/>
      <c r="TA25" s="353"/>
      <c r="TB25" s="353"/>
      <c r="TC25" s="353"/>
      <c r="TD25" s="353"/>
      <c r="TE25" s="353"/>
      <c r="TF25" s="353"/>
      <c r="TG25" s="353"/>
      <c r="TH25" s="353"/>
      <c r="TI25" s="353"/>
      <c r="TJ25" s="353"/>
      <c r="TK25" s="353"/>
      <c r="TL25" s="353"/>
      <c r="TM25" s="353"/>
      <c r="TN25" s="353"/>
      <c r="TO25" s="353"/>
      <c r="TP25" s="353"/>
      <c r="TQ25" s="353"/>
      <c r="TR25" s="353"/>
      <c r="TS25" s="353"/>
      <c r="TT25" s="353"/>
      <c r="TU25" s="353"/>
      <c r="TV25" s="353"/>
      <c r="TW25" s="353"/>
      <c r="TX25" s="353"/>
      <c r="TY25" s="353"/>
      <c r="TZ25" s="353"/>
      <c r="UA25" s="353"/>
      <c r="UB25" s="353"/>
      <c r="UC25" s="353"/>
      <c r="UD25" s="353"/>
      <c r="UE25" s="353"/>
      <c r="UF25" s="353"/>
      <c r="UG25" s="353"/>
      <c r="UH25" s="353"/>
      <c r="UI25" s="353"/>
      <c r="UJ25" s="353"/>
      <c r="UK25" s="353"/>
      <c r="UL25" s="353"/>
      <c r="UM25" s="353"/>
      <c r="UN25" s="353"/>
      <c r="UO25" s="353"/>
      <c r="UP25" s="353"/>
      <c r="UQ25" s="353"/>
      <c r="UR25" s="353"/>
      <c r="US25" s="353"/>
      <c r="UT25" s="353"/>
      <c r="UU25" s="353"/>
      <c r="UV25" s="353"/>
      <c r="UW25" s="353"/>
      <c r="UX25" s="353"/>
      <c r="UY25" s="353"/>
      <c r="UZ25" s="353"/>
      <c r="VA25" s="353"/>
      <c r="VB25" s="353"/>
      <c r="VC25" s="353"/>
      <c r="VD25" s="353"/>
      <c r="VE25" s="353"/>
      <c r="VF25" s="353"/>
      <c r="VG25" s="353"/>
      <c r="VH25" s="353"/>
      <c r="VI25" s="353"/>
      <c r="VJ25" s="353"/>
      <c r="VK25" s="353"/>
      <c r="VL25" s="353"/>
      <c r="VM25" s="353"/>
      <c r="VN25" s="353"/>
      <c r="VO25" s="353"/>
      <c r="VP25" s="353"/>
      <c r="VQ25" s="353"/>
      <c r="VR25" s="353"/>
      <c r="VS25" s="353"/>
      <c r="VT25" s="353"/>
      <c r="VU25" s="353"/>
      <c r="VV25" s="353"/>
      <c r="VW25" s="353"/>
      <c r="VX25" s="353"/>
      <c r="VY25" s="353"/>
      <c r="VZ25" s="353"/>
      <c r="WA25" s="353"/>
      <c r="WB25" s="353"/>
      <c r="WC25" s="353"/>
      <c r="WD25" s="353"/>
      <c r="WE25" s="353"/>
      <c r="WF25" s="353"/>
      <c r="WG25" s="353"/>
      <c r="WH25" s="353"/>
      <c r="WI25" s="353"/>
      <c r="WJ25" s="353"/>
      <c r="WK25" s="353"/>
      <c r="WL25" s="353"/>
      <c r="WM25" s="353"/>
      <c r="WN25" s="353"/>
      <c r="WO25" s="353"/>
      <c r="WP25" s="353"/>
      <c r="WQ25" s="353"/>
      <c r="WR25" s="353"/>
      <c r="WS25" s="353"/>
      <c r="WT25" s="353"/>
      <c r="WU25" s="353"/>
      <c r="WV25" s="353"/>
      <c r="WW25" s="353"/>
      <c r="WX25" s="353"/>
      <c r="WY25" s="353"/>
      <c r="WZ25" s="353"/>
      <c r="XA25" s="353"/>
      <c r="XB25" s="353"/>
      <c r="XC25" s="353"/>
      <c r="XD25" s="353"/>
      <c r="XE25" s="353"/>
      <c r="XF25" s="353"/>
      <c r="XG25" s="353"/>
      <c r="XH25" s="353"/>
      <c r="XI25" s="353"/>
      <c r="XJ25" s="353"/>
      <c r="XK25" s="353"/>
      <c r="XL25" s="353"/>
      <c r="XM25" s="353"/>
      <c r="XN25" s="353"/>
      <c r="XO25" s="353"/>
      <c r="XP25" s="353"/>
      <c r="XQ25" s="353"/>
      <c r="XR25" s="353"/>
      <c r="XS25" s="353"/>
      <c r="XT25" s="353"/>
      <c r="XU25" s="353"/>
      <c r="XV25" s="353"/>
      <c r="XW25" s="353"/>
      <c r="XX25" s="353"/>
      <c r="XY25" s="353"/>
      <c r="XZ25" s="353"/>
      <c r="YA25" s="353"/>
      <c r="YB25" s="353"/>
      <c r="YC25" s="353"/>
      <c r="YD25" s="353"/>
      <c r="YE25" s="353"/>
      <c r="YF25" s="353"/>
      <c r="YG25" s="353"/>
      <c r="YH25" s="353"/>
      <c r="YI25" s="353"/>
      <c r="YJ25" s="353"/>
      <c r="YK25" s="353"/>
      <c r="YL25" s="353"/>
      <c r="YM25" s="353"/>
      <c r="YN25" s="353"/>
      <c r="YO25" s="353"/>
      <c r="YP25" s="353"/>
      <c r="YQ25" s="353"/>
      <c r="YR25" s="353"/>
      <c r="YS25" s="353"/>
      <c r="YT25" s="353"/>
      <c r="YU25" s="353"/>
      <c r="YV25" s="353"/>
      <c r="YW25" s="353"/>
      <c r="YX25" s="353"/>
      <c r="YY25" s="353"/>
      <c r="YZ25" s="353"/>
      <c r="ZA25" s="353"/>
      <c r="ZB25" s="353"/>
      <c r="ZC25" s="353"/>
      <c r="ZD25" s="353"/>
      <c r="ZE25" s="353"/>
      <c r="ZF25" s="353"/>
      <c r="ZG25" s="353"/>
      <c r="ZH25" s="353"/>
      <c r="ZI25" s="353"/>
      <c r="ZJ25" s="353"/>
      <c r="ZK25" s="353"/>
      <c r="ZL25" s="353"/>
      <c r="ZM25" s="353"/>
      <c r="ZN25" s="353"/>
      <c r="ZO25" s="353"/>
      <c r="ZP25" s="353"/>
      <c r="ZQ25" s="353"/>
      <c r="ZR25" s="353"/>
      <c r="ZS25" s="353"/>
      <c r="ZT25" s="353"/>
      <c r="ZU25" s="353"/>
      <c r="ZV25" s="353"/>
      <c r="ZW25" s="353"/>
      <c r="ZX25" s="353"/>
      <c r="ZY25" s="353"/>
      <c r="ZZ25" s="353"/>
      <c r="AAA25" s="353"/>
      <c r="AAB25" s="353"/>
      <c r="AAC25" s="353"/>
      <c r="AAD25" s="353"/>
      <c r="AAE25" s="353"/>
      <c r="AAF25" s="353"/>
      <c r="AAG25" s="353"/>
      <c r="AAH25" s="353"/>
      <c r="AAI25" s="353"/>
      <c r="AAJ25" s="353"/>
      <c r="AAK25" s="353"/>
      <c r="AAL25" s="353"/>
      <c r="AAM25" s="353"/>
      <c r="AAN25" s="353"/>
      <c r="AAO25" s="353"/>
      <c r="AAP25" s="353"/>
      <c r="AAQ25" s="353"/>
      <c r="AAR25" s="353"/>
      <c r="AAS25" s="353"/>
      <c r="AAT25" s="353"/>
      <c r="AAU25" s="353"/>
      <c r="AAV25" s="353"/>
      <c r="AAW25" s="353"/>
      <c r="AAX25" s="353"/>
      <c r="AAY25" s="353"/>
      <c r="AAZ25" s="353"/>
      <c r="ABA25" s="353"/>
      <c r="ABB25" s="353"/>
      <c r="ABC25" s="353"/>
      <c r="ABD25" s="353"/>
      <c r="ABE25" s="353"/>
      <c r="ABF25" s="353"/>
      <c r="ABG25" s="353"/>
      <c r="ABH25" s="353"/>
      <c r="ABI25" s="353"/>
      <c r="ABJ25" s="353"/>
      <c r="ABK25" s="353"/>
      <c r="ABL25" s="353"/>
      <c r="ABM25" s="353"/>
      <c r="ABN25" s="353"/>
      <c r="ABO25" s="353"/>
      <c r="ABP25" s="353"/>
      <c r="ABQ25" s="353"/>
      <c r="ABR25" s="353"/>
      <c r="ABS25" s="353"/>
      <c r="ABT25" s="353"/>
      <c r="ABU25" s="353"/>
      <c r="ABV25" s="353"/>
      <c r="ABW25" s="353"/>
      <c r="ABX25" s="353"/>
      <c r="ABY25" s="353"/>
      <c r="ABZ25" s="353"/>
      <c r="ACA25" s="353"/>
      <c r="ACB25" s="353"/>
      <c r="ACC25" s="353"/>
      <c r="ACD25" s="353"/>
      <c r="ACE25" s="353"/>
      <c r="ACF25" s="353"/>
      <c r="ACG25" s="353"/>
      <c r="ACH25" s="353"/>
      <c r="ACI25" s="353"/>
      <c r="ACJ25" s="353"/>
      <c r="ACK25" s="353"/>
      <c r="ACL25" s="353"/>
      <c r="ACM25" s="353"/>
      <c r="ACN25" s="353"/>
      <c r="ACO25" s="353"/>
      <c r="ACP25" s="353"/>
      <c r="ACQ25" s="353"/>
      <c r="ACR25" s="353"/>
      <c r="ACS25" s="353"/>
      <c r="ACT25" s="353"/>
      <c r="ACU25" s="353"/>
      <c r="ACV25" s="353"/>
      <c r="ACW25" s="353"/>
      <c r="ACX25" s="353"/>
      <c r="ACY25" s="353"/>
      <c r="ACZ25" s="353"/>
      <c r="ADA25" s="353"/>
      <c r="ADB25" s="353"/>
      <c r="ADC25" s="353"/>
      <c r="ADD25" s="353"/>
      <c r="ADE25" s="353"/>
      <c r="ADF25" s="353"/>
      <c r="ADG25" s="353"/>
      <c r="ADH25" s="353"/>
      <c r="ADI25" s="353"/>
      <c r="ADJ25" s="353"/>
      <c r="ADK25" s="353"/>
      <c r="ADL25" s="353"/>
      <c r="ADM25" s="353"/>
      <c r="ADN25" s="353"/>
      <c r="ADO25" s="353"/>
      <c r="ADP25" s="353"/>
      <c r="ADQ25" s="353"/>
      <c r="ADR25" s="353"/>
      <c r="ADS25" s="353"/>
      <c r="ADT25" s="353"/>
      <c r="ADU25" s="353"/>
      <c r="ADV25" s="353"/>
      <c r="ADW25" s="353"/>
      <c r="ADX25" s="353"/>
      <c r="ADY25" s="353"/>
      <c r="ADZ25" s="353"/>
      <c r="AEA25" s="353"/>
      <c r="AEB25" s="353"/>
      <c r="AEC25" s="353"/>
      <c r="AED25" s="353"/>
      <c r="AEE25" s="353"/>
      <c r="AEF25" s="353"/>
      <c r="AEG25" s="353"/>
      <c r="AEH25" s="353"/>
      <c r="AEI25" s="353"/>
      <c r="AEJ25" s="353"/>
      <c r="AEK25" s="353"/>
      <c r="AEL25" s="353"/>
      <c r="AEM25" s="353"/>
      <c r="AEN25" s="353"/>
      <c r="AEO25" s="353"/>
      <c r="AEP25" s="353"/>
      <c r="AEQ25" s="353"/>
      <c r="AER25" s="353"/>
      <c r="AES25" s="353"/>
      <c r="AET25" s="353"/>
      <c r="AEU25" s="353"/>
      <c r="AEV25" s="353"/>
      <c r="AEW25" s="353"/>
      <c r="AEX25" s="353"/>
      <c r="AEY25" s="353"/>
      <c r="AEZ25" s="353"/>
      <c r="AFA25" s="353"/>
      <c r="AFB25" s="353"/>
      <c r="AFC25" s="353"/>
      <c r="AFD25" s="353"/>
      <c r="AFE25" s="353"/>
      <c r="AFF25" s="353"/>
      <c r="AFG25" s="353"/>
      <c r="AFH25" s="353"/>
      <c r="AFI25" s="353"/>
      <c r="AFJ25" s="353"/>
      <c r="AFK25" s="353"/>
      <c r="AFL25" s="353"/>
      <c r="AFM25" s="353"/>
      <c r="AFN25" s="353"/>
      <c r="AFO25" s="353"/>
      <c r="AFP25" s="353"/>
      <c r="AFQ25" s="353"/>
      <c r="AFR25" s="353"/>
      <c r="AFS25" s="353"/>
      <c r="AFT25" s="353"/>
      <c r="AFU25" s="353"/>
      <c r="AFV25" s="353"/>
      <c r="AFW25" s="353"/>
      <c r="AFX25" s="353"/>
      <c r="AFY25" s="353"/>
      <c r="AFZ25" s="353"/>
      <c r="AGA25" s="353"/>
      <c r="AGB25" s="353"/>
      <c r="AGC25" s="353"/>
      <c r="AGD25" s="353"/>
      <c r="AGE25" s="353"/>
      <c r="AGF25" s="353"/>
      <c r="AGG25" s="353"/>
      <c r="AGH25" s="353"/>
      <c r="AGI25" s="353"/>
      <c r="AGJ25" s="353"/>
      <c r="AGK25" s="353"/>
      <c r="AGL25" s="353"/>
      <c r="AGM25" s="353"/>
      <c r="AGN25" s="353"/>
      <c r="AGO25" s="353"/>
      <c r="AGP25" s="353"/>
      <c r="AGQ25" s="353"/>
      <c r="AGR25" s="353"/>
      <c r="AGS25" s="353"/>
      <c r="AGT25" s="353"/>
      <c r="AGU25" s="353"/>
      <c r="AGV25" s="353"/>
      <c r="AGW25" s="353"/>
      <c r="AGX25" s="353"/>
      <c r="AGY25" s="353"/>
      <c r="AGZ25" s="353"/>
      <c r="AHA25" s="353"/>
      <c r="AHB25" s="353"/>
      <c r="AHC25" s="353"/>
      <c r="AHD25" s="353"/>
      <c r="AHE25" s="353"/>
      <c r="AHF25" s="353"/>
      <c r="AHG25" s="353"/>
      <c r="AHH25" s="353"/>
      <c r="AHI25" s="353"/>
      <c r="AHJ25" s="353"/>
      <c r="AHK25" s="353"/>
      <c r="AHL25" s="353"/>
      <c r="AHM25" s="353"/>
      <c r="AHN25" s="353"/>
      <c r="AHO25" s="353"/>
      <c r="AHP25" s="353"/>
      <c r="AHQ25" s="353"/>
      <c r="AHR25" s="353"/>
      <c r="AHS25" s="353"/>
      <c r="AHT25" s="353"/>
      <c r="AHU25" s="353"/>
      <c r="AHV25" s="353"/>
      <c r="AHW25" s="353"/>
      <c r="AHX25" s="353"/>
      <c r="AHY25" s="353"/>
      <c r="AHZ25" s="353"/>
      <c r="AIA25" s="353"/>
      <c r="AIB25" s="353"/>
      <c r="AIC25" s="353"/>
      <c r="AID25" s="353"/>
      <c r="AIE25" s="353"/>
      <c r="AIF25" s="353"/>
      <c r="AIG25" s="353"/>
      <c r="AIH25" s="353"/>
      <c r="AII25" s="353"/>
      <c r="AIJ25" s="353"/>
      <c r="AIK25" s="353"/>
      <c r="AIL25" s="353"/>
      <c r="AIM25" s="353"/>
      <c r="AIN25" s="353"/>
      <c r="AIO25" s="353"/>
      <c r="AIP25" s="353"/>
      <c r="AIQ25" s="353"/>
      <c r="AIR25" s="353"/>
      <c r="AIS25" s="353"/>
      <c r="AIT25" s="353"/>
      <c r="AIU25" s="353"/>
      <c r="AIV25" s="353"/>
      <c r="AIW25" s="353"/>
      <c r="AIX25" s="353"/>
      <c r="AIY25" s="353"/>
      <c r="AIZ25" s="353"/>
      <c r="AJA25" s="353"/>
      <c r="AJB25" s="353"/>
      <c r="AJC25" s="353"/>
      <c r="AJD25" s="353"/>
      <c r="AJE25" s="353"/>
      <c r="AJF25" s="353"/>
      <c r="AJG25" s="353"/>
      <c r="AJH25" s="353"/>
      <c r="AJI25" s="353"/>
      <c r="AJJ25" s="353"/>
      <c r="AJK25" s="353"/>
      <c r="AJL25" s="353"/>
      <c r="AJM25" s="353"/>
      <c r="AJN25" s="353"/>
      <c r="AJO25" s="353"/>
      <c r="AJP25" s="353"/>
      <c r="AJQ25" s="353"/>
      <c r="AJR25" s="353"/>
      <c r="AJS25" s="353"/>
      <c r="AJT25" s="353"/>
      <c r="AJU25" s="353"/>
      <c r="AJV25" s="353"/>
      <c r="AJW25" s="353"/>
      <c r="AJX25" s="353"/>
      <c r="AJY25" s="353"/>
      <c r="AJZ25" s="353"/>
      <c r="AKA25" s="353"/>
      <c r="AKB25" s="353"/>
      <c r="AKC25" s="353"/>
      <c r="AKD25" s="353"/>
      <c r="AKE25" s="353"/>
      <c r="AKF25" s="353"/>
      <c r="AKG25" s="353"/>
      <c r="AKH25" s="353"/>
      <c r="AKI25" s="353"/>
      <c r="AKJ25" s="353"/>
      <c r="AKK25" s="353"/>
      <c r="AKL25" s="353"/>
      <c r="AKM25" s="353"/>
      <c r="AKN25" s="353"/>
      <c r="AKO25" s="353"/>
      <c r="AKP25" s="353"/>
      <c r="AKQ25" s="353"/>
      <c r="AKR25" s="353"/>
      <c r="AKS25" s="353"/>
      <c r="AKT25" s="353"/>
      <c r="AKU25" s="353"/>
      <c r="AKV25" s="353"/>
      <c r="AKW25" s="353"/>
      <c r="AKX25" s="353"/>
      <c r="AKY25" s="353"/>
      <c r="AKZ25" s="353"/>
      <c r="ALA25" s="353"/>
      <c r="ALB25" s="353"/>
      <c r="ALC25" s="353"/>
      <c r="ALD25" s="353"/>
      <c r="ALE25" s="353"/>
      <c r="ALF25" s="353"/>
      <c r="ALG25" s="353"/>
      <c r="ALH25" s="353"/>
      <c r="ALI25" s="353"/>
      <c r="ALJ25" s="353"/>
      <c r="ALK25" s="353"/>
      <c r="ALL25" s="353"/>
      <c r="ALM25" s="353"/>
      <c r="ALN25" s="353"/>
      <c r="ALO25" s="353"/>
      <c r="ALP25" s="353"/>
      <c r="ALQ25" s="353"/>
      <c r="ALR25" s="353"/>
      <c r="ALS25" s="353"/>
      <c r="ALT25" s="353"/>
      <c r="ALU25" s="353"/>
      <c r="ALV25" s="353"/>
      <c r="ALW25" s="353"/>
      <c r="ALX25" s="353"/>
      <c r="ALY25" s="353"/>
      <c r="ALZ25" s="353"/>
      <c r="AMA25" s="353"/>
      <c r="AMB25" s="353"/>
      <c r="AMC25" s="353"/>
      <c r="AMD25" s="353"/>
      <c r="AME25" s="353"/>
      <c r="AMF25" s="353"/>
      <c r="AMG25" s="353"/>
      <c r="AMH25" s="353"/>
      <c r="AMI25" s="353"/>
      <c r="AMJ25" s="353"/>
      <c r="AMK25" s="353"/>
      <c r="AML25" s="353"/>
      <c r="AMM25" s="353"/>
      <c r="AMN25" s="353"/>
      <c r="AMO25" s="353"/>
      <c r="AMP25" s="353"/>
    </row>
    <row r="26" spans="2:1030" s="354" customFormat="1" ht="12.75" x14ac:dyDescent="0.2">
      <c r="B26" s="404" t="str">
        <f t="shared" si="13"/>
        <v/>
      </c>
      <c r="C26" s="405" t="s">
        <v>63</v>
      </c>
      <c r="D26" s="406" t="s">
        <v>63</v>
      </c>
      <c r="E26" s="406" t="s">
        <v>63</v>
      </c>
      <c r="F26" s="407" t="s">
        <v>63</v>
      </c>
      <c r="G26" s="407" t="s">
        <v>63</v>
      </c>
      <c r="H26" s="408" t="s">
        <v>63</v>
      </c>
      <c r="I26" s="408" t="s">
        <v>63</v>
      </c>
      <c r="J26" s="408" t="s">
        <v>63</v>
      </c>
      <c r="K26" s="408" t="s">
        <v>63</v>
      </c>
      <c r="L26" s="408" t="s">
        <v>63</v>
      </c>
      <c r="M26" s="408" t="s">
        <v>63</v>
      </c>
      <c r="N26" s="409" t="s">
        <v>63</v>
      </c>
      <c r="O26" s="409" t="s">
        <v>63</v>
      </c>
      <c r="P26" s="409" t="s">
        <v>63</v>
      </c>
      <c r="Q26" s="409" t="str">
        <f t="shared" si="4"/>
        <v/>
      </c>
      <c r="R26" s="409" t="str">
        <f t="shared" si="5"/>
        <v/>
      </c>
      <c r="S26" s="410" t="str">
        <f t="shared" si="6"/>
        <v/>
      </c>
      <c r="T26" s="409" t="str">
        <f t="shared" si="7"/>
        <v/>
      </c>
      <c r="U26" s="411" t="str">
        <f t="shared" ref="U26:U31" si="14">IFERROR(ROUND(T26*State_Match_Rate,0),"")</f>
        <v/>
      </c>
      <c r="V26" s="411" t="str">
        <f t="shared" si="9"/>
        <v/>
      </c>
      <c r="W26" s="412" t="s">
        <v>63</v>
      </c>
      <c r="X26" s="412" t="s">
        <v>63</v>
      </c>
      <c r="Y26" s="411" t="str">
        <f t="shared" si="10"/>
        <v/>
      </c>
      <c r="Z26" s="411" t="str">
        <f t="shared" si="10"/>
        <v/>
      </c>
      <c r="AA26" s="411" t="str">
        <f t="shared" si="11"/>
        <v/>
      </c>
      <c r="AB26" s="383"/>
      <c r="AC26" s="413"/>
      <c r="AD26" s="413" t="str">
        <f t="shared" si="12"/>
        <v/>
      </c>
      <c r="AE26" s="414" t="str">
        <f>IF($AD26="","",COUNTIFS($AD$14:AD26,"Yes"))</f>
        <v/>
      </c>
      <c r="AF26" s="413" t="str">
        <f>IF(C26="", "", AND(INDEX('Summary Dynamic'!$D$8:$D$10, MATCH(H26, 'Summary Dynamic'!$C$8:$C$10, 0))="Include", INDEX('Summary Dynamic'!$D$12:$D$14, MATCH(I26, 'Summary Dynamic'!$C$12:$C$14, 0))="Include", INDEX('Summary Dynamic'!$D$16:$D$17, MATCH(J26, 'Summary Dynamic'!$C$16:$C$17, 0))="Include", INDEX('Summary Dynamic'!$D$19:$D$20, MATCH(K26, 'Summary Dynamic'!$C$19:$C$20, 0))="Include", INDEX('Summary Dynamic'!$D$22:$D$23, MATCH(L26, 'Summary Dynamic'!$C$22:$C$23, 0))="Include", INDEX('Summary Dynamic'!$D$25:$D$26, MATCH(M26, 'Summary Dynamic'!$C$25:$C$26, 0))="Include"))</f>
        <v/>
      </c>
      <c r="AG26" s="414" t="str">
        <f>IFERROR(IF(C26="", "", IF(AF26=TRUE, COUNTIFS($AF$14:AF26, TRUE), "n/a")), "n/a")</f>
        <v/>
      </c>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c r="DN26" s="353"/>
      <c r="DO26" s="353"/>
      <c r="DP26" s="353"/>
      <c r="DQ26" s="353"/>
      <c r="DR26" s="353"/>
      <c r="DS26" s="353"/>
      <c r="DT26" s="353"/>
      <c r="DU26" s="353"/>
      <c r="DV26" s="353"/>
      <c r="DW26" s="353"/>
      <c r="DX26" s="353"/>
      <c r="DY26" s="353"/>
      <c r="DZ26" s="353"/>
      <c r="EA26" s="353"/>
      <c r="EB26" s="353"/>
      <c r="EC26" s="353"/>
      <c r="ED26" s="353"/>
      <c r="EE26" s="353"/>
      <c r="EF26" s="353"/>
      <c r="EG26" s="353"/>
      <c r="EH26" s="353"/>
      <c r="EI26" s="353"/>
      <c r="EJ26" s="353"/>
      <c r="EK26" s="353"/>
      <c r="EL26" s="353"/>
      <c r="EM26" s="353"/>
      <c r="EN26" s="353"/>
      <c r="EO26" s="353"/>
      <c r="EP26" s="353"/>
      <c r="EQ26" s="353"/>
      <c r="ER26" s="353"/>
      <c r="ES26" s="353"/>
      <c r="ET26" s="353"/>
      <c r="EU26" s="353"/>
      <c r="EV26" s="353"/>
      <c r="EW26" s="353"/>
      <c r="EX26" s="353"/>
      <c r="EY26" s="353"/>
      <c r="EZ26" s="353"/>
      <c r="FA26" s="353"/>
      <c r="FB26" s="353"/>
      <c r="FC26" s="353"/>
      <c r="FD26" s="353"/>
      <c r="FE26" s="353"/>
      <c r="FF26" s="353"/>
      <c r="FG26" s="353"/>
      <c r="FH26" s="353"/>
      <c r="FI26" s="353"/>
      <c r="FJ26" s="353"/>
      <c r="FK26" s="353"/>
      <c r="FL26" s="353"/>
      <c r="FM26" s="353"/>
      <c r="FN26" s="353"/>
      <c r="FO26" s="353"/>
      <c r="FP26" s="353"/>
      <c r="FQ26" s="353"/>
      <c r="FR26" s="353"/>
      <c r="FS26" s="353"/>
      <c r="FT26" s="353"/>
      <c r="FU26" s="353"/>
      <c r="FV26" s="353"/>
      <c r="FW26" s="353"/>
      <c r="FX26" s="353"/>
      <c r="FY26" s="353"/>
      <c r="FZ26" s="353"/>
      <c r="GA26" s="353"/>
      <c r="GB26" s="353"/>
      <c r="GC26" s="353"/>
      <c r="GD26" s="353"/>
      <c r="GE26" s="353"/>
      <c r="GF26" s="353"/>
      <c r="GG26" s="353"/>
      <c r="GH26" s="353"/>
      <c r="GI26" s="353"/>
      <c r="GJ26" s="353"/>
      <c r="GK26" s="353"/>
      <c r="GL26" s="353"/>
      <c r="GM26" s="353"/>
      <c r="GN26" s="353"/>
      <c r="GO26" s="353"/>
      <c r="GP26" s="353"/>
      <c r="GQ26" s="353"/>
      <c r="GR26" s="353"/>
      <c r="GS26" s="353"/>
      <c r="GT26" s="353"/>
      <c r="GU26" s="353"/>
      <c r="GV26" s="353"/>
      <c r="GW26" s="353"/>
      <c r="GX26" s="353"/>
      <c r="GY26" s="353"/>
      <c r="GZ26" s="353"/>
      <c r="HA26" s="353"/>
      <c r="HB26" s="353"/>
      <c r="HC26" s="353"/>
      <c r="HD26" s="353"/>
      <c r="HE26" s="353"/>
      <c r="HF26" s="353"/>
      <c r="HG26" s="353"/>
      <c r="HH26" s="353"/>
      <c r="HI26" s="353"/>
      <c r="HJ26" s="353"/>
      <c r="HK26" s="353"/>
      <c r="HL26" s="353"/>
      <c r="HM26" s="353"/>
      <c r="HN26" s="353"/>
      <c r="HO26" s="353"/>
      <c r="HP26" s="353"/>
      <c r="HQ26" s="353"/>
      <c r="HR26" s="353"/>
      <c r="HS26" s="353"/>
      <c r="HT26" s="353"/>
      <c r="HU26" s="353"/>
      <c r="HV26" s="353"/>
      <c r="HW26" s="353"/>
      <c r="HX26" s="353"/>
      <c r="HY26" s="353"/>
      <c r="HZ26" s="353"/>
      <c r="IA26" s="353"/>
      <c r="IB26" s="353"/>
      <c r="IC26" s="353"/>
      <c r="ID26" s="353"/>
      <c r="IE26" s="353"/>
      <c r="IF26" s="353"/>
      <c r="IG26" s="353"/>
      <c r="IH26" s="353"/>
      <c r="II26" s="353"/>
      <c r="IJ26" s="353"/>
      <c r="IK26" s="353"/>
      <c r="IL26" s="353"/>
      <c r="IM26" s="353"/>
      <c r="IN26" s="353"/>
      <c r="IO26" s="353"/>
      <c r="IP26" s="353"/>
      <c r="IQ26" s="353"/>
      <c r="IR26" s="353"/>
      <c r="IS26" s="353"/>
      <c r="IT26" s="353"/>
      <c r="IU26" s="353"/>
      <c r="IV26" s="353"/>
      <c r="IW26" s="353"/>
      <c r="IX26" s="353"/>
      <c r="IY26" s="353"/>
      <c r="IZ26" s="353"/>
      <c r="JA26" s="353"/>
      <c r="JB26" s="353"/>
      <c r="JC26" s="353"/>
      <c r="JD26" s="353"/>
      <c r="JE26" s="353"/>
      <c r="JF26" s="353"/>
      <c r="JG26" s="353"/>
      <c r="JH26" s="353"/>
      <c r="JI26" s="353"/>
      <c r="JJ26" s="353"/>
      <c r="JK26" s="353"/>
      <c r="JL26" s="353"/>
      <c r="JM26" s="353"/>
      <c r="JN26" s="353"/>
      <c r="JO26" s="353"/>
      <c r="JP26" s="353"/>
      <c r="JQ26" s="353"/>
      <c r="JR26" s="353"/>
      <c r="JS26" s="353"/>
      <c r="JT26" s="353"/>
      <c r="JU26" s="353"/>
      <c r="JV26" s="353"/>
      <c r="JW26" s="353"/>
      <c r="JX26" s="353"/>
      <c r="JY26" s="353"/>
      <c r="JZ26" s="353"/>
      <c r="KA26" s="353"/>
      <c r="KB26" s="353"/>
      <c r="KC26" s="353"/>
      <c r="KD26" s="353"/>
      <c r="KE26" s="353"/>
      <c r="KF26" s="353"/>
      <c r="KG26" s="353"/>
      <c r="KH26" s="353"/>
      <c r="KI26" s="353"/>
      <c r="KJ26" s="353"/>
      <c r="KK26" s="353"/>
      <c r="KL26" s="353"/>
      <c r="KM26" s="353"/>
      <c r="KN26" s="353"/>
      <c r="KO26" s="353"/>
      <c r="KP26" s="353"/>
      <c r="KQ26" s="353"/>
      <c r="KR26" s="353"/>
      <c r="KS26" s="353"/>
      <c r="KT26" s="353"/>
      <c r="KU26" s="353"/>
      <c r="KV26" s="353"/>
      <c r="KW26" s="353"/>
      <c r="KX26" s="353"/>
      <c r="KY26" s="353"/>
      <c r="KZ26" s="353"/>
      <c r="LA26" s="353"/>
      <c r="LB26" s="353"/>
      <c r="LC26" s="353"/>
      <c r="LD26" s="353"/>
      <c r="LE26" s="353"/>
      <c r="LF26" s="353"/>
      <c r="LG26" s="353"/>
      <c r="LH26" s="353"/>
      <c r="LI26" s="353"/>
      <c r="LJ26" s="353"/>
      <c r="LK26" s="353"/>
      <c r="LL26" s="353"/>
      <c r="LM26" s="353"/>
      <c r="LN26" s="353"/>
      <c r="LO26" s="353"/>
      <c r="LP26" s="353"/>
      <c r="LQ26" s="353"/>
      <c r="LR26" s="353"/>
      <c r="LS26" s="353"/>
      <c r="LT26" s="353"/>
      <c r="LU26" s="353"/>
      <c r="LV26" s="353"/>
      <c r="LW26" s="353"/>
      <c r="LX26" s="353"/>
      <c r="LY26" s="353"/>
      <c r="LZ26" s="353"/>
      <c r="MA26" s="353"/>
      <c r="MB26" s="353"/>
      <c r="MC26" s="353"/>
      <c r="MD26" s="353"/>
      <c r="ME26" s="353"/>
      <c r="MF26" s="353"/>
      <c r="MG26" s="353"/>
      <c r="MH26" s="353"/>
      <c r="MI26" s="353"/>
      <c r="MJ26" s="353"/>
      <c r="MK26" s="353"/>
      <c r="ML26" s="353"/>
      <c r="MM26" s="353"/>
      <c r="MN26" s="353"/>
      <c r="MO26" s="353"/>
      <c r="MP26" s="353"/>
      <c r="MQ26" s="353"/>
      <c r="MR26" s="353"/>
      <c r="MS26" s="353"/>
      <c r="MT26" s="353"/>
      <c r="MU26" s="353"/>
      <c r="MV26" s="353"/>
      <c r="MW26" s="353"/>
      <c r="MX26" s="353"/>
      <c r="MY26" s="353"/>
      <c r="MZ26" s="353"/>
      <c r="NA26" s="353"/>
      <c r="NB26" s="353"/>
      <c r="NC26" s="353"/>
      <c r="ND26" s="353"/>
      <c r="NE26" s="353"/>
      <c r="NF26" s="353"/>
      <c r="NG26" s="353"/>
      <c r="NH26" s="353"/>
      <c r="NI26" s="353"/>
      <c r="NJ26" s="353"/>
      <c r="NK26" s="353"/>
      <c r="NL26" s="353"/>
      <c r="NM26" s="353"/>
      <c r="NN26" s="353"/>
      <c r="NO26" s="353"/>
      <c r="NP26" s="353"/>
      <c r="NQ26" s="353"/>
      <c r="NR26" s="353"/>
      <c r="NS26" s="353"/>
      <c r="NT26" s="353"/>
      <c r="NU26" s="353"/>
      <c r="NV26" s="353"/>
      <c r="NW26" s="353"/>
      <c r="NX26" s="353"/>
      <c r="NY26" s="353"/>
      <c r="NZ26" s="353"/>
      <c r="OA26" s="353"/>
      <c r="OB26" s="353"/>
      <c r="OC26" s="353"/>
      <c r="OD26" s="353"/>
      <c r="OE26" s="353"/>
      <c r="OF26" s="353"/>
      <c r="OG26" s="353"/>
      <c r="OH26" s="353"/>
      <c r="OI26" s="353"/>
      <c r="OJ26" s="353"/>
      <c r="OK26" s="353"/>
      <c r="OL26" s="353"/>
      <c r="OM26" s="353"/>
      <c r="ON26" s="353"/>
      <c r="OO26" s="353"/>
      <c r="OP26" s="353"/>
      <c r="OQ26" s="353"/>
      <c r="OR26" s="353"/>
      <c r="OS26" s="353"/>
      <c r="OT26" s="353"/>
      <c r="OU26" s="353"/>
      <c r="OV26" s="353"/>
      <c r="OW26" s="353"/>
      <c r="OX26" s="353"/>
      <c r="OY26" s="353"/>
      <c r="OZ26" s="353"/>
      <c r="PA26" s="353"/>
      <c r="PB26" s="353"/>
      <c r="PC26" s="353"/>
      <c r="PD26" s="353"/>
      <c r="PE26" s="353"/>
      <c r="PF26" s="353"/>
      <c r="PG26" s="353"/>
      <c r="PH26" s="353"/>
      <c r="PI26" s="353"/>
      <c r="PJ26" s="353"/>
      <c r="PK26" s="353"/>
      <c r="PL26" s="353"/>
      <c r="PM26" s="353"/>
      <c r="PN26" s="353"/>
      <c r="PO26" s="353"/>
      <c r="PP26" s="353"/>
      <c r="PQ26" s="353"/>
      <c r="PR26" s="353"/>
      <c r="PS26" s="353"/>
      <c r="PT26" s="353"/>
      <c r="PU26" s="353"/>
      <c r="PV26" s="353"/>
      <c r="PW26" s="353"/>
      <c r="PX26" s="353"/>
      <c r="PY26" s="353"/>
      <c r="PZ26" s="353"/>
      <c r="QA26" s="353"/>
      <c r="QB26" s="353"/>
      <c r="QC26" s="353"/>
      <c r="QD26" s="353"/>
      <c r="QE26" s="353"/>
      <c r="QF26" s="353"/>
      <c r="QG26" s="353"/>
      <c r="QH26" s="353"/>
      <c r="QI26" s="353"/>
      <c r="QJ26" s="353"/>
      <c r="QK26" s="353"/>
      <c r="QL26" s="353"/>
      <c r="QM26" s="353"/>
      <c r="QN26" s="353"/>
      <c r="QO26" s="353"/>
      <c r="QP26" s="353"/>
      <c r="QQ26" s="353"/>
      <c r="QR26" s="353"/>
      <c r="QS26" s="353"/>
      <c r="QT26" s="353"/>
      <c r="QU26" s="353"/>
      <c r="QV26" s="353"/>
      <c r="QW26" s="353"/>
      <c r="QX26" s="353"/>
      <c r="QY26" s="353"/>
      <c r="QZ26" s="353"/>
      <c r="RA26" s="353"/>
      <c r="RB26" s="353"/>
      <c r="RC26" s="353"/>
      <c r="RD26" s="353"/>
      <c r="RE26" s="353"/>
      <c r="RF26" s="353"/>
      <c r="RG26" s="353"/>
      <c r="RH26" s="353"/>
      <c r="RI26" s="353"/>
      <c r="RJ26" s="353"/>
      <c r="RK26" s="353"/>
      <c r="RL26" s="353"/>
      <c r="RM26" s="353"/>
      <c r="RN26" s="353"/>
      <c r="RO26" s="353"/>
      <c r="RP26" s="353"/>
      <c r="RQ26" s="353"/>
      <c r="RR26" s="353"/>
      <c r="RS26" s="353"/>
      <c r="RT26" s="353"/>
      <c r="RU26" s="353"/>
      <c r="RV26" s="353"/>
      <c r="RW26" s="353"/>
      <c r="RX26" s="353"/>
      <c r="RY26" s="353"/>
      <c r="RZ26" s="353"/>
      <c r="SA26" s="353"/>
      <c r="SB26" s="353"/>
      <c r="SC26" s="353"/>
      <c r="SD26" s="353"/>
      <c r="SE26" s="353"/>
      <c r="SF26" s="353"/>
      <c r="SG26" s="353"/>
      <c r="SH26" s="353"/>
      <c r="SI26" s="353"/>
      <c r="SJ26" s="353"/>
      <c r="SK26" s="353"/>
      <c r="SL26" s="353"/>
      <c r="SM26" s="353"/>
      <c r="SN26" s="353"/>
      <c r="SO26" s="353"/>
      <c r="SP26" s="353"/>
      <c r="SQ26" s="353"/>
      <c r="SR26" s="353"/>
      <c r="SS26" s="353"/>
      <c r="ST26" s="353"/>
      <c r="SU26" s="353"/>
      <c r="SV26" s="353"/>
      <c r="SW26" s="353"/>
      <c r="SX26" s="353"/>
      <c r="SY26" s="353"/>
      <c r="SZ26" s="353"/>
      <c r="TA26" s="353"/>
      <c r="TB26" s="353"/>
      <c r="TC26" s="353"/>
      <c r="TD26" s="353"/>
      <c r="TE26" s="353"/>
      <c r="TF26" s="353"/>
      <c r="TG26" s="353"/>
      <c r="TH26" s="353"/>
      <c r="TI26" s="353"/>
      <c r="TJ26" s="353"/>
      <c r="TK26" s="353"/>
      <c r="TL26" s="353"/>
      <c r="TM26" s="353"/>
      <c r="TN26" s="353"/>
      <c r="TO26" s="353"/>
      <c r="TP26" s="353"/>
      <c r="TQ26" s="353"/>
      <c r="TR26" s="353"/>
      <c r="TS26" s="353"/>
      <c r="TT26" s="353"/>
      <c r="TU26" s="353"/>
      <c r="TV26" s="353"/>
      <c r="TW26" s="353"/>
      <c r="TX26" s="353"/>
      <c r="TY26" s="353"/>
      <c r="TZ26" s="353"/>
      <c r="UA26" s="353"/>
      <c r="UB26" s="353"/>
      <c r="UC26" s="353"/>
      <c r="UD26" s="353"/>
      <c r="UE26" s="353"/>
      <c r="UF26" s="353"/>
      <c r="UG26" s="353"/>
      <c r="UH26" s="353"/>
      <c r="UI26" s="353"/>
      <c r="UJ26" s="353"/>
      <c r="UK26" s="353"/>
      <c r="UL26" s="353"/>
      <c r="UM26" s="353"/>
      <c r="UN26" s="353"/>
      <c r="UO26" s="353"/>
      <c r="UP26" s="353"/>
      <c r="UQ26" s="353"/>
      <c r="UR26" s="353"/>
      <c r="US26" s="353"/>
      <c r="UT26" s="353"/>
      <c r="UU26" s="353"/>
      <c r="UV26" s="353"/>
      <c r="UW26" s="353"/>
      <c r="UX26" s="353"/>
      <c r="UY26" s="353"/>
      <c r="UZ26" s="353"/>
      <c r="VA26" s="353"/>
      <c r="VB26" s="353"/>
      <c r="VC26" s="353"/>
      <c r="VD26" s="353"/>
      <c r="VE26" s="353"/>
      <c r="VF26" s="353"/>
      <c r="VG26" s="353"/>
      <c r="VH26" s="353"/>
      <c r="VI26" s="353"/>
      <c r="VJ26" s="353"/>
      <c r="VK26" s="353"/>
      <c r="VL26" s="353"/>
      <c r="VM26" s="353"/>
      <c r="VN26" s="353"/>
      <c r="VO26" s="353"/>
      <c r="VP26" s="353"/>
      <c r="VQ26" s="353"/>
      <c r="VR26" s="353"/>
      <c r="VS26" s="353"/>
      <c r="VT26" s="353"/>
      <c r="VU26" s="353"/>
      <c r="VV26" s="353"/>
      <c r="VW26" s="353"/>
      <c r="VX26" s="353"/>
      <c r="VY26" s="353"/>
      <c r="VZ26" s="353"/>
      <c r="WA26" s="353"/>
      <c r="WB26" s="353"/>
      <c r="WC26" s="353"/>
      <c r="WD26" s="353"/>
      <c r="WE26" s="353"/>
      <c r="WF26" s="353"/>
      <c r="WG26" s="353"/>
      <c r="WH26" s="353"/>
      <c r="WI26" s="353"/>
      <c r="WJ26" s="353"/>
      <c r="WK26" s="353"/>
      <c r="WL26" s="353"/>
      <c r="WM26" s="353"/>
      <c r="WN26" s="353"/>
      <c r="WO26" s="353"/>
      <c r="WP26" s="353"/>
      <c r="WQ26" s="353"/>
      <c r="WR26" s="353"/>
      <c r="WS26" s="353"/>
      <c r="WT26" s="353"/>
      <c r="WU26" s="353"/>
      <c r="WV26" s="353"/>
      <c r="WW26" s="353"/>
      <c r="WX26" s="353"/>
      <c r="WY26" s="353"/>
      <c r="WZ26" s="353"/>
      <c r="XA26" s="353"/>
      <c r="XB26" s="353"/>
      <c r="XC26" s="353"/>
      <c r="XD26" s="353"/>
      <c r="XE26" s="353"/>
      <c r="XF26" s="353"/>
      <c r="XG26" s="353"/>
      <c r="XH26" s="353"/>
      <c r="XI26" s="353"/>
      <c r="XJ26" s="353"/>
      <c r="XK26" s="353"/>
      <c r="XL26" s="353"/>
      <c r="XM26" s="353"/>
      <c r="XN26" s="353"/>
      <c r="XO26" s="353"/>
      <c r="XP26" s="353"/>
      <c r="XQ26" s="353"/>
      <c r="XR26" s="353"/>
      <c r="XS26" s="353"/>
      <c r="XT26" s="353"/>
      <c r="XU26" s="353"/>
      <c r="XV26" s="353"/>
      <c r="XW26" s="353"/>
      <c r="XX26" s="353"/>
      <c r="XY26" s="353"/>
      <c r="XZ26" s="353"/>
      <c r="YA26" s="353"/>
      <c r="YB26" s="353"/>
      <c r="YC26" s="353"/>
      <c r="YD26" s="353"/>
      <c r="YE26" s="353"/>
      <c r="YF26" s="353"/>
      <c r="YG26" s="353"/>
      <c r="YH26" s="353"/>
      <c r="YI26" s="353"/>
      <c r="YJ26" s="353"/>
      <c r="YK26" s="353"/>
      <c r="YL26" s="353"/>
      <c r="YM26" s="353"/>
      <c r="YN26" s="353"/>
      <c r="YO26" s="353"/>
      <c r="YP26" s="353"/>
      <c r="YQ26" s="353"/>
      <c r="YR26" s="353"/>
      <c r="YS26" s="353"/>
      <c r="YT26" s="353"/>
      <c r="YU26" s="353"/>
      <c r="YV26" s="353"/>
      <c r="YW26" s="353"/>
      <c r="YX26" s="353"/>
      <c r="YY26" s="353"/>
      <c r="YZ26" s="353"/>
      <c r="ZA26" s="353"/>
      <c r="ZB26" s="353"/>
      <c r="ZC26" s="353"/>
      <c r="ZD26" s="353"/>
      <c r="ZE26" s="353"/>
      <c r="ZF26" s="353"/>
      <c r="ZG26" s="353"/>
      <c r="ZH26" s="353"/>
      <c r="ZI26" s="353"/>
      <c r="ZJ26" s="353"/>
      <c r="ZK26" s="353"/>
      <c r="ZL26" s="353"/>
      <c r="ZM26" s="353"/>
      <c r="ZN26" s="353"/>
      <c r="ZO26" s="353"/>
      <c r="ZP26" s="353"/>
      <c r="ZQ26" s="353"/>
      <c r="ZR26" s="353"/>
      <c r="ZS26" s="353"/>
      <c r="ZT26" s="353"/>
      <c r="ZU26" s="353"/>
      <c r="ZV26" s="353"/>
      <c r="ZW26" s="353"/>
      <c r="ZX26" s="353"/>
      <c r="ZY26" s="353"/>
      <c r="ZZ26" s="353"/>
      <c r="AAA26" s="353"/>
      <c r="AAB26" s="353"/>
      <c r="AAC26" s="353"/>
      <c r="AAD26" s="353"/>
      <c r="AAE26" s="353"/>
      <c r="AAF26" s="353"/>
      <c r="AAG26" s="353"/>
      <c r="AAH26" s="353"/>
      <c r="AAI26" s="353"/>
      <c r="AAJ26" s="353"/>
      <c r="AAK26" s="353"/>
      <c r="AAL26" s="353"/>
      <c r="AAM26" s="353"/>
      <c r="AAN26" s="353"/>
      <c r="AAO26" s="353"/>
      <c r="AAP26" s="353"/>
      <c r="AAQ26" s="353"/>
      <c r="AAR26" s="353"/>
      <c r="AAS26" s="353"/>
      <c r="AAT26" s="353"/>
      <c r="AAU26" s="353"/>
      <c r="AAV26" s="353"/>
      <c r="AAW26" s="353"/>
      <c r="AAX26" s="353"/>
      <c r="AAY26" s="353"/>
      <c r="AAZ26" s="353"/>
      <c r="ABA26" s="353"/>
      <c r="ABB26" s="353"/>
      <c r="ABC26" s="353"/>
      <c r="ABD26" s="353"/>
      <c r="ABE26" s="353"/>
      <c r="ABF26" s="353"/>
      <c r="ABG26" s="353"/>
      <c r="ABH26" s="353"/>
      <c r="ABI26" s="353"/>
      <c r="ABJ26" s="353"/>
      <c r="ABK26" s="353"/>
      <c r="ABL26" s="353"/>
      <c r="ABM26" s="353"/>
      <c r="ABN26" s="353"/>
      <c r="ABO26" s="353"/>
      <c r="ABP26" s="353"/>
      <c r="ABQ26" s="353"/>
      <c r="ABR26" s="353"/>
      <c r="ABS26" s="353"/>
      <c r="ABT26" s="353"/>
      <c r="ABU26" s="353"/>
      <c r="ABV26" s="353"/>
      <c r="ABW26" s="353"/>
      <c r="ABX26" s="353"/>
      <c r="ABY26" s="353"/>
      <c r="ABZ26" s="353"/>
      <c r="ACA26" s="353"/>
      <c r="ACB26" s="353"/>
      <c r="ACC26" s="353"/>
      <c r="ACD26" s="353"/>
      <c r="ACE26" s="353"/>
      <c r="ACF26" s="353"/>
      <c r="ACG26" s="353"/>
      <c r="ACH26" s="353"/>
      <c r="ACI26" s="353"/>
      <c r="ACJ26" s="353"/>
      <c r="ACK26" s="353"/>
      <c r="ACL26" s="353"/>
      <c r="ACM26" s="353"/>
      <c r="ACN26" s="353"/>
      <c r="ACO26" s="353"/>
      <c r="ACP26" s="353"/>
      <c r="ACQ26" s="353"/>
      <c r="ACR26" s="353"/>
      <c r="ACS26" s="353"/>
      <c r="ACT26" s="353"/>
      <c r="ACU26" s="353"/>
      <c r="ACV26" s="353"/>
      <c r="ACW26" s="353"/>
      <c r="ACX26" s="353"/>
      <c r="ACY26" s="353"/>
      <c r="ACZ26" s="353"/>
      <c r="ADA26" s="353"/>
      <c r="ADB26" s="353"/>
      <c r="ADC26" s="353"/>
      <c r="ADD26" s="353"/>
      <c r="ADE26" s="353"/>
      <c r="ADF26" s="353"/>
      <c r="ADG26" s="353"/>
      <c r="ADH26" s="353"/>
      <c r="ADI26" s="353"/>
      <c r="ADJ26" s="353"/>
      <c r="ADK26" s="353"/>
      <c r="ADL26" s="353"/>
      <c r="ADM26" s="353"/>
      <c r="ADN26" s="353"/>
      <c r="ADO26" s="353"/>
      <c r="ADP26" s="353"/>
      <c r="ADQ26" s="353"/>
      <c r="ADR26" s="353"/>
      <c r="ADS26" s="353"/>
      <c r="ADT26" s="353"/>
      <c r="ADU26" s="353"/>
      <c r="ADV26" s="353"/>
      <c r="ADW26" s="353"/>
      <c r="ADX26" s="353"/>
      <c r="ADY26" s="353"/>
      <c r="ADZ26" s="353"/>
      <c r="AEA26" s="353"/>
      <c r="AEB26" s="353"/>
      <c r="AEC26" s="353"/>
      <c r="AED26" s="353"/>
      <c r="AEE26" s="353"/>
      <c r="AEF26" s="353"/>
      <c r="AEG26" s="353"/>
      <c r="AEH26" s="353"/>
      <c r="AEI26" s="353"/>
      <c r="AEJ26" s="353"/>
      <c r="AEK26" s="353"/>
      <c r="AEL26" s="353"/>
      <c r="AEM26" s="353"/>
      <c r="AEN26" s="353"/>
      <c r="AEO26" s="353"/>
      <c r="AEP26" s="353"/>
      <c r="AEQ26" s="353"/>
      <c r="AER26" s="353"/>
      <c r="AES26" s="353"/>
      <c r="AET26" s="353"/>
      <c r="AEU26" s="353"/>
      <c r="AEV26" s="353"/>
      <c r="AEW26" s="353"/>
      <c r="AEX26" s="353"/>
      <c r="AEY26" s="353"/>
      <c r="AEZ26" s="353"/>
      <c r="AFA26" s="353"/>
      <c r="AFB26" s="353"/>
      <c r="AFC26" s="353"/>
      <c r="AFD26" s="353"/>
      <c r="AFE26" s="353"/>
      <c r="AFF26" s="353"/>
      <c r="AFG26" s="353"/>
      <c r="AFH26" s="353"/>
      <c r="AFI26" s="353"/>
      <c r="AFJ26" s="353"/>
      <c r="AFK26" s="353"/>
      <c r="AFL26" s="353"/>
      <c r="AFM26" s="353"/>
      <c r="AFN26" s="353"/>
      <c r="AFO26" s="353"/>
      <c r="AFP26" s="353"/>
      <c r="AFQ26" s="353"/>
      <c r="AFR26" s="353"/>
      <c r="AFS26" s="353"/>
      <c r="AFT26" s="353"/>
      <c r="AFU26" s="353"/>
      <c r="AFV26" s="353"/>
      <c r="AFW26" s="353"/>
      <c r="AFX26" s="353"/>
      <c r="AFY26" s="353"/>
      <c r="AFZ26" s="353"/>
      <c r="AGA26" s="353"/>
      <c r="AGB26" s="353"/>
      <c r="AGC26" s="353"/>
      <c r="AGD26" s="353"/>
      <c r="AGE26" s="353"/>
      <c r="AGF26" s="353"/>
      <c r="AGG26" s="353"/>
      <c r="AGH26" s="353"/>
      <c r="AGI26" s="353"/>
      <c r="AGJ26" s="353"/>
      <c r="AGK26" s="353"/>
      <c r="AGL26" s="353"/>
      <c r="AGM26" s="353"/>
      <c r="AGN26" s="353"/>
      <c r="AGO26" s="353"/>
      <c r="AGP26" s="353"/>
      <c r="AGQ26" s="353"/>
      <c r="AGR26" s="353"/>
      <c r="AGS26" s="353"/>
      <c r="AGT26" s="353"/>
      <c r="AGU26" s="353"/>
      <c r="AGV26" s="353"/>
      <c r="AGW26" s="353"/>
      <c r="AGX26" s="353"/>
      <c r="AGY26" s="353"/>
      <c r="AGZ26" s="353"/>
      <c r="AHA26" s="353"/>
      <c r="AHB26" s="353"/>
      <c r="AHC26" s="353"/>
      <c r="AHD26" s="353"/>
      <c r="AHE26" s="353"/>
      <c r="AHF26" s="353"/>
      <c r="AHG26" s="353"/>
      <c r="AHH26" s="353"/>
      <c r="AHI26" s="353"/>
      <c r="AHJ26" s="353"/>
      <c r="AHK26" s="353"/>
      <c r="AHL26" s="353"/>
      <c r="AHM26" s="353"/>
      <c r="AHN26" s="353"/>
      <c r="AHO26" s="353"/>
      <c r="AHP26" s="353"/>
      <c r="AHQ26" s="353"/>
      <c r="AHR26" s="353"/>
      <c r="AHS26" s="353"/>
      <c r="AHT26" s="353"/>
      <c r="AHU26" s="353"/>
      <c r="AHV26" s="353"/>
      <c r="AHW26" s="353"/>
      <c r="AHX26" s="353"/>
      <c r="AHY26" s="353"/>
      <c r="AHZ26" s="353"/>
      <c r="AIA26" s="353"/>
      <c r="AIB26" s="353"/>
      <c r="AIC26" s="353"/>
      <c r="AID26" s="353"/>
      <c r="AIE26" s="353"/>
      <c r="AIF26" s="353"/>
      <c r="AIG26" s="353"/>
      <c r="AIH26" s="353"/>
      <c r="AII26" s="353"/>
      <c r="AIJ26" s="353"/>
      <c r="AIK26" s="353"/>
      <c r="AIL26" s="353"/>
      <c r="AIM26" s="353"/>
      <c r="AIN26" s="353"/>
      <c r="AIO26" s="353"/>
      <c r="AIP26" s="353"/>
      <c r="AIQ26" s="353"/>
      <c r="AIR26" s="353"/>
      <c r="AIS26" s="353"/>
      <c r="AIT26" s="353"/>
      <c r="AIU26" s="353"/>
      <c r="AIV26" s="353"/>
      <c r="AIW26" s="353"/>
      <c r="AIX26" s="353"/>
      <c r="AIY26" s="353"/>
      <c r="AIZ26" s="353"/>
      <c r="AJA26" s="353"/>
      <c r="AJB26" s="353"/>
      <c r="AJC26" s="353"/>
      <c r="AJD26" s="353"/>
      <c r="AJE26" s="353"/>
      <c r="AJF26" s="353"/>
      <c r="AJG26" s="353"/>
      <c r="AJH26" s="353"/>
      <c r="AJI26" s="353"/>
      <c r="AJJ26" s="353"/>
      <c r="AJK26" s="353"/>
      <c r="AJL26" s="353"/>
      <c r="AJM26" s="353"/>
      <c r="AJN26" s="353"/>
      <c r="AJO26" s="353"/>
      <c r="AJP26" s="353"/>
      <c r="AJQ26" s="353"/>
      <c r="AJR26" s="353"/>
      <c r="AJS26" s="353"/>
      <c r="AJT26" s="353"/>
      <c r="AJU26" s="353"/>
      <c r="AJV26" s="353"/>
      <c r="AJW26" s="353"/>
      <c r="AJX26" s="353"/>
      <c r="AJY26" s="353"/>
      <c r="AJZ26" s="353"/>
      <c r="AKA26" s="353"/>
      <c r="AKB26" s="353"/>
      <c r="AKC26" s="353"/>
      <c r="AKD26" s="353"/>
      <c r="AKE26" s="353"/>
      <c r="AKF26" s="353"/>
      <c r="AKG26" s="353"/>
      <c r="AKH26" s="353"/>
      <c r="AKI26" s="353"/>
      <c r="AKJ26" s="353"/>
      <c r="AKK26" s="353"/>
      <c r="AKL26" s="353"/>
      <c r="AKM26" s="353"/>
      <c r="AKN26" s="353"/>
      <c r="AKO26" s="353"/>
      <c r="AKP26" s="353"/>
      <c r="AKQ26" s="353"/>
      <c r="AKR26" s="353"/>
      <c r="AKS26" s="353"/>
      <c r="AKT26" s="353"/>
      <c r="AKU26" s="353"/>
      <c r="AKV26" s="353"/>
      <c r="AKW26" s="353"/>
      <c r="AKX26" s="353"/>
      <c r="AKY26" s="353"/>
      <c r="AKZ26" s="353"/>
      <c r="ALA26" s="353"/>
      <c r="ALB26" s="353"/>
      <c r="ALC26" s="353"/>
      <c r="ALD26" s="353"/>
      <c r="ALE26" s="353"/>
      <c r="ALF26" s="353"/>
      <c r="ALG26" s="353"/>
      <c r="ALH26" s="353"/>
      <c r="ALI26" s="353"/>
      <c r="ALJ26" s="353"/>
      <c r="ALK26" s="353"/>
      <c r="ALL26" s="353"/>
      <c r="ALM26" s="353"/>
      <c r="ALN26" s="353"/>
      <c r="ALO26" s="353"/>
      <c r="ALP26" s="353"/>
      <c r="ALQ26" s="353"/>
      <c r="ALR26" s="353"/>
      <c r="ALS26" s="353"/>
      <c r="ALT26" s="353"/>
      <c r="ALU26" s="353"/>
      <c r="ALV26" s="353"/>
      <c r="ALW26" s="353"/>
      <c r="ALX26" s="353"/>
      <c r="ALY26" s="353"/>
      <c r="ALZ26" s="353"/>
      <c r="AMA26" s="353"/>
      <c r="AMB26" s="353"/>
      <c r="AMC26" s="353"/>
      <c r="AMD26" s="353"/>
      <c r="AME26" s="353"/>
      <c r="AMF26" s="353"/>
      <c r="AMG26" s="353"/>
      <c r="AMH26" s="353"/>
      <c r="AMI26" s="353"/>
      <c r="AMJ26" s="353"/>
      <c r="AMK26" s="353"/>
      <c r="AML26" s="353"/>
      <c r="AMM26" s="353"/>
      <c r="AMN26" s="353"/>
      <c r="AMO26" s="353"/>
      <c r="AMP26" s="353"/>
    </row>
    <row r="27" spans="2:1030" s="354" customFormat="1" ht="12.75" x14ac:dyDescent="0.2">
      <c r="B27" s="404" t="str">
        <f t="shared" si="13"/>
        <v/>
      </c>
      <c r="C27" s="405" t="s">
        <v>63</v>
      </c>
      <c r="D27" s="406" t="s">
        <v>63</v>
      </c>
      <c r="E27" s="406" t="s">
        <v>63</v>
      </c>
      <c r="F27" s="407" t="s">
        <v>63</v>
      </c>
      <c r="G27" s="407" t="s">
        <v>63</v>
      </c>
      <c r="H27" s="408" t="s">
        <v>63</v>
      </c>
      <c r="I27" s="408" t="s">
        <v>63</v>
      </c>
      <c r="J27" s="408" t="s">
        <v>63</v>
      </c>
      <c r="K27" s="408" t="s">
        <v>63</v>
      </c>
      <c r="L27" s="408" t="s">
        <v>63</v>
      </c>
      <c r="M27" s="408" t="s">
        <v>63</v>
      </c>
      <c r="N27" s="409" t="s">
        <v>63</v>
      </c>
      <c r="O27" s="409" t="s">
        <v>63</v>
      </c>
      <c r="P27" s="409" t="s">
        <v>63</v>
      </c>
      <c r="Q27" s="409" t="str">
        <f t="shared" si="4"/>
        <v/>
      </c>
      <c r="R27" s="409" t="str">
        <f t="shared" si="5"/>
        <v/>
      </c>
      <c r="S27" s="410" t="str">
        <f t="shared" si="6"/>
        <v/>
      </c>
      <c r="T27" s="409" t="str">
        <f t="shared" si="7"/>
        <v/>
      </c>
      <c r="U27" s="411" t="str">
        <f t="shared" si="14"/>
        <v/>
      </c>
      <c r="V27" s="411" t="str">
        <f t="shared" si="9"/>
        <v/>
      </c>
      <c r="W27" s="412" t="s">
        <v>63</v>
      </c>
      <c r="X27" s="412" t="s">
        <v>63</v>
      </c>
      <c r="Y27" s="411" t="str">
        <f t="shared" si="10"/>
        <v/>
      </c>
      <c r="Z27" s="411" t="str">
        <f t="shared" si="10"/>
        <v/>
      </c>
      <c r="AA27" s="411" t="str">
        <f t="shared" si="11"/>
        <v/>
      </c>
      <c r="AB27" s="383"/>
      <c r="AC27" s="413"/>
      <c r="AD27" s="413" t="str">
        <f t="shared" si="12"/>
        <v/>
      </c>
      <c r="AE27" s="414" t="str">
        <f>IF($AD27="","",COUNTIFS($AD$14:AD27,"Yes"))</f>
        <v/>
      </c>
      <c r="AF27" s="413" t="str">
        <f>IF(C27="", "", AND(INDEX('Summary Dynamic'!$D$8:$D$10, MATCH(H27, 'Summary Dynamic'!$C$8:$C$10, 0))="Include", INDEX('Summary Dynamic'!$D$12:$D$14, MATCH(I27, 'Summary Dynamic'!$C$12:$C$14, 0))="Include", INDEX('Summary Dynamic'!$D$16:$D$17, MATCH(J27, 'Summary Dynamic'!$C$16:$C$17, 0))="Include", INDEX('Summary Dynamic'!$D$19:$D$20, MATCH(K27, 'Summary Dynamic'!$C$19:$C$20, 0))="Include", INDEX('Summary Dynamic'!$D$22:$D$23, MATCH(L27, 'Summary Dynamic'!$C$22:$C$23, 0))="Include", INDEX('Summary Dynamic'!$D$25:$D$26, MATCH(M27, 'Summary Dynamic'!$C$25:$C$26, 0))="Include"))</f>
        <v/>
      </c>
      <c r="AG27" s="414" t="str">
        <f>IFERROR(IF(C27="", "", IF(AF27=TRUE, COUNTIFS($AF$14:AF27, TRUE), "n/a")), "n/a")</f>
        <v/>
      </c>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c r="DU27" s="353"/>
      <c r="DV27" s="353"/>
      <c r="DW27" s="353"/>
      <c r="DX27" s="353"/>
      <c r="DY27" s="353"/>
      <c r="DZ27" s="353"/>
      <c r="EA27" s="353"/>
      <c r="EB27" s="353"/>
      <c r="EC27" s="353"/>
      <c r="ED27" s="353"/>
      <c r="EE27" s="353"/>
      <c r="EF27" s="353"/>
      <c r="EG27" s="353"/>
      <c r="EH27" s="353"/>
      <c r="EI27" s="353"/>
      <c r="EJ27" s="353"/>
      <c r="EK27" s="353"/>
      <c r="EL27" s="353"/>
      <c r="EM27" s="353"/>
      <c r="EN27" s="353"/>
      <c r="EO27" s="353"/>
      <c r="EP27" s="353"/>
      <c r="EQ27" s="353"/>
      <c r="ER27" s="353"/>
      <c r="ES27" s="353"/>
      <c r="ET27" s="353"/>
      <c r="EU27" s="353"/>
      <c r="EV27" s="353"/>
      <c r="EW27" s="353"/>
      <c r="EX27" s="353"/>
      <c r="EY27" s="353"/>
      <c r="EZ27" s="353"/>
      <c r="FA27" s="353"/>
      <c r="FB27" s="353"/>
      <c r="FC27" s="353"/>
      <c r="FD27" s="353"/>
      <c r="FE27" s="353"/>
      <c r="FF27" s="353"/>
      <c r="FG27" s="353"/>
      <c r="FH27" s="353"/>
      <c r="FI27" s="353"/>
      <c r="FJ27" s="353"/>
      <c r="FK27" s="353"/>
      <c r="FL27" s="353"/>
      <c r="FM27" s="353"/>
      <c r="FN27" s="353"/>
      <c r="FO27" s="353"/>
      <c r="FP27" s="353"/>
      <c r="FQ27" s="353"/>
      <c r="FR27" s="353"/>
      <c r="FS27" s="353"/>
      <c r="FT27" s="353"/>
      <c r="FU27" s="353"/>
      <c r="FV27" s="353"/>
      <c r="FW27" s="353"/>
      <c r="FX27" s="353"/>
      <c r="FY27" s="353"/>
      <c r="FZ27" s="353"/>
      <c r="GA27" s="353"/>
      <c r="GB27" s="353"/>
      <c r="GC27" s="353"/>
      <c r="GD27" s="353"/>
      <c r="GE27" s="353"/>
      <c r="GF27" s="353"/>
      <c r="GG27" s="353"/>
      <c r="GH27" s="353"/>
      <c r="GI27" s="353"/>
      <c r="GJ27" s="353"/>
      <c r="GK27" s="353"/>
      <c r="GL27" s="353"/>
      <c r="GM27" s="353"/>
      <c r="GN27" s="353"/>
      <c r="GO27" s="353"/>
      <c r="GP27" s="353"/>
      <c r="GQ27" s="353"/>
      <c r="GR27" s="353"/>
      <c r="GS27" s="353"/>
      <c r="GT27" s="353"/>
      <c r="GU27" s="353"/>
      <c r="GV27" s="353"/>
      <c r="GW27" s="353"/>
      <c r="GX27" s="353"/>
      <c r="GY27" s="353"/>
      <c r="GZ27" s="353"/>
      <c r="HA27" s="353"/>
      <c r="HB27" s="353"/>
      <c r="HC27" s="353"/>
      <c r="HD27" s="353"/>
      <c r="HE27" s="353"/>
      <c r="HF27" s="353"/>
      <c r="HG27" s="353"/>
      <c r="HH27" s="353"/>
      <c r="HI27" s="353"/>
      <c r="HJ27" s="353"/>
      <c r="HK27" s="353"/>
      <c r="HL27" s="353"/>
      <c r="HM27" s="353"/>
      <c r="HN27" s="353"/>
      <c r="HO27" s="353"/>
      <c r="HP27" s="353"/>
      <c r="HQ27" s="353"/>
      <c r="HR27" s="353"/>
      <c r="HS27" s="353"/>
      <c r="HT27" s="353"/>
      <c r="HU27" s="353"/>
      <c r="HV27" s="353"/>
      <c r="HW27" s="353"/>
      <c r="HX27" s="353"/>
      <c r="HY27" s="353"/>
      <c r="HZ27" s="353"/>
      <c r="IA27" s="353"/>
      <c r="IB27" s="353"/>
      <c r="IC27" s="353"/>
      <c r="ID27" s="353"/>
      <c r="IE27" s="353"/>
      <c r="IF27" s="353"/>
      <c r="IG27" s="353"/>
      <c r="IH27" s="353"/>
      <c r="II27" s="353"/>
      <c r="IJ27" s="353"/>
      <c r="IK27" s="353"/>
      <c r="IL27" s="353"/>
      <c r="IM27" s="353"/>
      <c r="IN27" s="353"/>
      <c r="IO27" s="353"/>
      <c r="IP27" s="353"/>
      <c r="IQ27" s="353"/>
      <c r="IR27" s="353"/>
      <c r="IS27" s="353"/>
      <c r="IT27" s="353"/>
      <c r="IU27" s="353"/>
      <c r="IV27" s="353"/>
      <c r="IW27" s="353"/>
      <c r="IX27" s="353"/>
      <c r="IY27" s="353"/>
      <c r="IZ27" s="353"/>
      <c r="JA27" s="353"/>
      <c r="JB27" s="353"/>
      <c r="JC27" s="353"/>
      <c r="JD27" s="353"/>
      <c r="JE27" s="353"/>
      <c r="JF27" s="353"/>
      <c r="JG27" s="353"/>
      <c r="JH27" s="353"/>
      <c r="JI27" s="353"/>
      <c r="JJ27" s="353"/>
      <c r="JK27" s="353"/>
      <c r="JL27" s="353"/>
      <c r="JM27" s="353"/>
      <c r="JN27" s="353"/>
      <c r="JO27" s="353"/>
      <c r="JP27" s="353"/>
      <c r="JQ27" s="353"/>
      <c r="JR27" s="353"/>
      <c r="JS27" s="353"/>
      <c r="JT27" s="353"/>
      <c r="JU27" s="353"/>
      <c r="JV27" s="353"/>
      <c r="JW27" s="353"/>
      <c r="JX27" s="353"/>
      <c r="JY27" s="353"/>
      <c r="JZ27" s="353"/>
      <c r="KA27" s="353"/>
      <c r="KB27" s="353"/>
      <c r="KC27" s="353"/>
      <c r="KD27" s="353"/>
      <c r="KE27" s="353"/>
      <c r="KF27" s="353"/>
      <c r="KG27" s="353"/>
      <c r="KH27" s="353"/>
      <c r="KI27" s="353"/>
      <c r="KJ27" s="353"/>
      <c r="KK27" s="353"/>
      <c r="KL27" s="353"/>
      <c r="KM27" s="353"/>
      <c r="KN27" s="353"/>
      <c r="KO27" s="353"/>
      <c r="KP27" s="353"/>
      <c r="KQ27" s="353"/>
      <c r="KR27" s="353"/>
      <c r="KS27" s="353"/>
      <c r="KT27" s="353"/>
      <c r="KU27" s="353"/>
      <c r="KV27" s="353"/>
      <c r="KW27" s="353"/>
      <c r="KX27" s="353"/>
      <c r="KY27" s="353"/>
      <c r="KZ27" s="353"/>
      <c r="LA27" s="353"/>
      <c r="LB27" s="353"/>
      <c r="LC27" s="353"/>
      <c r="LD27" s="353"/>
      <c r="LE27" s="353"/>
      <c r="LF27" s="353"/>
      <c r="LG27" s="353"/>
      <c r="LH27" s="353"/>
      <c r="LI27" s="353"/>
      <c r="LJ27" s="353"/>
      <c r="LK27" s="353"/>
      <c r="LL27" s="353"/>
      <c r="LM27" s="353"/>
      <c r="LN27" s="353"/>
      <c r="LO27" s="353"/>
      <c r="LP27" s="353"/>
      <c r="LQ27" s="353"/>
      <c r="LR27" s="353"/>
      <c r="LS27" s="353"/>
      <c r="LT27" s="353"/>
      <c r="LU27" s="353"/>
      <c r="LV27" s="353"/>
      <c r="LW27" s="353"/>
      <c r="LX27" s="353"/>
      <c r="LY27" s="353"/>
      <c r="LZ27" s="353"/>
      <c r="MA27" s="353"/>
      <c r="MB27" s="353"/>
      <c r="MC27" s="353"/>
      <c r="MD27" s="353"/>
      <c r="ME27" s="353"/>
      <c r="MF27" s="353"/>
      <c r="MG27" s="353"/>
      <c r="MH27" s="353"/>
      <c r="MI27" s="353"/>
      <c r="MJ27" s="353"/>
      <c r="MK27" s="353"/>
      <c r="ML27" s="353"/>
      <c r="MM27" s="353"/>
      <c r="MN27" s="353"/>
      <c r="MO27" s="353"/>
      <c r="MP27" s="353"/>
      <c r="MQ27" s="353"/>
      <c r="MR27" s="353"/>
      <c r="MS27" s="353"/>
      <c r="MT27" s="353"/>
      <c r="MU27" s="353"/>
      <c r="MV27" s="353"/>
      <c r="MW27" s="353"/>
      <c r="MX27" s="353"/>
      <c r="MY27" s="353"/>
      <c r="MZ27" s="353"/>
      <c r="NA27" s="353"/>
      <c r="NB27" s="353"/>
      <c r="NC27" s="353"/>
      <c r="ND27" s="353"/>
      <c r="NE27" s="353"/>
      <c r="NF27" s="353"/>
      <c r="NG27" s="353"/>
      <c r="NH27" s="353"/>
      <c r="NI27" s="353"/>
      <c r="NJ27" s="353"/>
      <c r="NK27" s="353"/>
      <c r="NL27" s="353"/>
      <c r="NM27" s="353"/>
      <c r="NN27" s="353"/>
      <c r="NO27" s="353"/>
      <c r="NP27" s="353"/>
      <c r="NQ27" s="353"/>
      <c r="NR27" s="353"/>
      <c r="NS27" s="353"/>
      <c r="NT27" s="353"/>
      <c r="NU27" s="353"/>
      <c r="NV27" s="353"/>
      <c r="NW27" s="353"/>
      <c r="NX27" s="353"/>
      <c r="NY27" s="353"/>
      <c r="NZ27" s="353"/>
      <c r="OA27" s="353"/>
      <c r="OB27" s="353"/>
      <c r="OC27" s="353"/>
      <c r="OD27" s="353"/>
      <c r="OE27" s="353"/>
      <c r="OF27" s="353"/>
      <c r="OG27" s="353"/>
      <c r="OH27" s="353"/>
      <c r="OI27" s="353"/>
      <c r="OJ27" s="353"/>
      <c r="OK27" s="353"/>
      <c r="OL27" s="353"/>
      <c r="OM27" s="353"/>
      <c r="ON27" s="353"/>
      <c r="OO27" s="353"/>
      <c r="OP27" s="353"/>
      <c r="OQ27" s="353"/>
      <c r="OR27" s="353"/>
      <c r="OS27" s="353"/>
      <c r="OT27" s="353"/>
      <c r="OU27" s="353"/>
      <c r="OV27" s="353"/>
      <c r="OW27" s="353"/>
      <c r="OX27" s="353"/>
      <c r="OY27" s="353"/>
      <c r="OZ27" s="353"/>
      <c r="PA27" s="353"/>
      <c r="PB27" s="353"/>
      <c r="PC27" s="353"/>
      <c r="PD27" s="353"/>
      <c r="PE27" s="353"/>
      <c r="PF27" s="353"/>
      <c r="PG27" s="353"/>
      <c r="PH27" s="353"/>
      <c r="PI27" s="353"/>
      <c r="PJ27" s="353"/>
      <c r="PK27" s="353"/>
      <c r="PL27" s="353"/>
      <c r="PM27" s="353"/>
      <c r="PN27" s="353"/>
      <c r="PO27" s="353"/>
      <c r="PP27" s="353"/>
      <c r="PQ27" s="353"/>
      <c r="PR27" s="353"/>
      <c r="PS27" s="353"/>
      <c r="PT27" s="353"/>
      <c r="PU27" s="353"/>
      <c r="PV27" s="353"/>
      <c r="PW27" s="353"/>
      <c r="PX27" s="353"/>
      <c r="PY27" s="353"/>
      <c r="PZ27" s="353"/>
      <c r="QA27" s="353"/>
      <c r="QB27" s="353"/>
      <c r="QC27" s="353"/>
      <c r="QD27" s="353"/>
      <c r="QE27" s="353"/>
      <c r="QF27" s="353"/>
      <c r="QG27" s="353"/>
      <c r="QH27" s="353"/>
      <c r="QI27" s="353"/>
      <c r="QJ27" s="353"/>
      <c r="QK27" s="353"/>
      <c r="QL27" s="353"/>
      <c r="QM27" s="353"/>
      <c r="QN27" s="353"/>
      <c r="QO27" s="353"/>
      <c r="QP27" s="353"/>
      <c r="QQ27" s="353"/>
      <c r="QR27" s="353"/>
      <c r="QS27" s="353"/>
      <c r="QT27" s="353"/>
      <c r="QU27" s="353"/>
      <c r="QV27" s="353"/>
      <c r="QW27" s="353"/>
      <c r="QX27" s="353"/>
      <c r="QY27" s="353"/>
      <c r="QZ27" s="353"/>
      <c r="RA27" s="353"/>
      <c r="RB27" s="353"/>
      <c r="RC27" s="353"/>
      <c r="RD27" s="353"/>
      <c r="RE27" s="353"/>
      <c r="RF27" s="353"/>
      <c r="RG27" s="353"/>
      <c r="RH27" s="353"/>
      <c r="RI27" s="353"/>
      <c r="RJ27" s="353"/>
      <c r="RK27" s="353"/>
      <c r="RL27" s="353"/>
      <c r="RM27" s="353"/>
      <c r="RN27" s="353"/>
      <c r="RO27" s="353"/>
      <c r="RP27" s="353"/>
      <c r="RQ27" s="353"/>
      <c r="RR27" s="353"/>
      <c r="RS27" s="353"/>
      <c r="RT27" s="353"/>
      <c r="RU27" s="353"/>
      <c r="RV27" s="353"/>
      <c r="RW27" s="353"/>
      <c r="RX27" s="353"/>
      <c r="RY27" s="353"/>
      <c r="RZ27" s="353"/>
      <c r="SA27" s="353"/>
      <c r="SB27" s="353"/>
      <c r="SC27" s="353"/>
      <c r="SD27" s="353"/>
      <c r="SE27" s="353"/>
      <c r="SF27" s="353"/>
      <c r="SG27" s="353"/>
      <c r="SH27" s="353"/>
      <c r="SI27" s="353"/>
      <c r="SJ27" s="353"/>
      <c r="SK27" s="353"/>
      <c r="SL27" s="353"/>
      <c r="SM27" s="353"/>
      <c r="SN27" s="353"/>
      <c r="SO27" s="353"/>
      <c r="SP27" s="353"/>
      <c r="SQ27" s="353"/>
      <c r="SR27" s="353"/>
      <c r="SS27" s="353"/>
      <c r="ST27" s="353"/>
      <c r="SU27" s="353"/>
      <c r="SV27" s="353"/>
      <c r="SW27" s="353"/>
      <c r="SX27" s="353"/>
      <c r="SY27" s="353"/>
      <c r="SZ27" s="353"/>
      <c r="TA27" s="353"/>
      <c r="TB27" s="353"/>
      <c r="TC27" s="353"/>
      <c r="TD27" s="353"/>
      <c r="TE27" s="353"/>
      <c r="TF27" s="353"/>
      <c r="TG27" s="353"/>
      <c r="TH27" s="353"/>
      <c r="TI27" s="353"/>
      <c r="TJ27" s="353"/>
      <c r="TK27" s="353"/>
      <c r="TL27" s="353"/>
      <c r="TM27" s="353"/>
      <c r="TN27" s="353"/>
      <c r="TO27" s="353"/>
      <c r="TP27" s="353"/>
      <c r="TQ27" s="353"/>
      <c r="TR27" s="353"/>
      <c r="TS27" s="353"/>
      <c r="TT27" s="353"/>
      <c r="TU27" s="353"/>
      <c r="TV27" s="353"/>
      <c r="TW27" s="353"/>
      <c r="TX27" s="353"/>
      <c r="TY27" s="353"/>
      <c r="TZ27" s="353"/>
      <c r="UA27" s="353"/>
      <c r="UB27" s="353"/>
      <c r="UC27" s="353"/>
      <c r="UD27" s="353"/>
      <c r="UE27" s="353"/>
      <c r="UF27" s="353"/>
      <c r="UG27" s="353"/>
      <c r="UH27" s="353"/>
      <c r="UI27" s="353"/>
      <c r="UJ27" s="353"/>
      <c r="UK27" s="353"/>
      <c r="UL27" s="353"/>
      <c r="UM27" s="353"/>
      <c r="UN27" s="353"/>
      <c r="UO27" s="353"/>
      <c r="UP27" s="353"/>
      <c r="UQ27" s="353"/>
      <c r="UR27" s="353"/>
      <c r="US27" s="353"/>
      <c r="UT27" s="353"/>
      <c r="UU27" s="353"/>
      <c r="UV27" s="353"/>
      <c r="UW27" s="353"/>
      <c r="UX27" s="353"/>
      <c r="UY27" s="353"/>
      <c r="UZ27" s="353"/>
      <c r="VA27" s="353"/>
      <c r="VB27" s="353"/>
      <c r="VC27" s="353"/>
      <c r="VD27" s="353"/>
      <c r="VE27" s="353"/>
      <c r="VF27" s="353"/>
      <c r="VG27" s="353"/>
      <c r="VH27" s="353"/>
      <c r="VI27" s="353"/>
      <c r="VJ27" s="353"/>
      <c r="VK27" s="353"/>
      <c r="VL27" s="353"/>
      <c r="VM27" s="353"/>
      <c r="VN27" s="353"/>
      <c r="VO27" s="353"/>
      <c r="VP27" s="353"/>
      <c r="VQ27" s="353"/>
      <c r="VR27" s="353"/>
      <c r="VS27" s="353"/>
      <c r="VT27" s="353"/>
      <c r="VU27" s="353"/>
      <c r="VV27" s="353"/>
      <c r="VW27" s="353"/>
      <c r="VX27" s="353"/>
      <c r="VY27" s="353"/>
      <c r="VZ27" s="353"/>
      <c r="WA27" s="353"/>
      <c r="WB27" s="353"/>
      <c r="WC27" s="353"/>
      <c r="WD27" s="353"/>
      <c r="WE27" s="353"/>
      <c r="WF27" s="353"/>
      <c r="WG27" s="353"/>
      <c r="WH27" s="353"/>
      <c r="WI27" s="353"/>
      <c r="WJ27" s="353"/>
      <c r="WK27" s="353"/>
      <c r="WL27" s="353"/>
      <c r="WM27" s="353"/>
      <c r="WN27" s="353"/>
      <c r="WO27" s="353"/>
      <c r="WP27" s="353"/>
      <c r="WQ27" s="353"/>
      <c r="WR27" s="353"/>
      <c r="WS27" s="353"/>
      <c r="WT27" s="353"/>
      <c r="WU27" s="353"/>
      <c r="WV27" s="353"/>
      <c r="WW27" s="353"/>
      <c r="WX27" s="353"/>
      <c r="WY27" s="353"/>
      <c r="WZ27" s="353"/>
      <c r="XA27" s="353"/>
      <c r="XB27" s="353"/>
      <c r="XC27" s="353"/>
      <c r="XD27" s="353"/>
      <c r="XE27" s="353"/>
      <c r="XF27" s="353"/>
      <c r="XG27" s="353"/>
      <c r="XH27" s="353"/>
      <c r="XI27" s="353"/>
      <c r="XJ27" s="353"/>
      <c r="XK27" s="353"/>
      <c r="XL27" s="353"/>
      <c r="XM27" s="353"/>
      <c r="XN27" s="353"/>
      <c r="XO27" s="353"/>
      <c r="XP27" s="353"/>
      <c r="XQ27" s="353"/>
      <c r="XR27" s="353"/>
      <c r="XS27" s="353"/>
      <c r="XT27" s="353"/>
      <c r="XU27" s="353"/>
      <c r="XV27" s="353"/>
      <c r="XW27" s="353"/>
      <c r="XX27" s="353"/>
      <c r="XY27" s="353"/>
      <c r="XZ27" s="353"/>
      <c r="YA27" s="353"/>
      <c r="YB27" s="353"/>
      <c r="YC27" s="353"/>
      <c r="YD27" s="353"/>
      <c r="YE27" s="353"/>
      <c r="YF27" s="353"/>
      <c r="YG27" s="353"/>
      <c r="YH27" s="353"/>
      <c r="YI27" s="353"/>
      <c r="YJ27" s="353"/>
      <c r="YK27" s="353"/>
      <c r="YL27" s="353"/>
      <c r="YM27" s="353"/>
      <c r="YN27" s="353"/>
      <c r="YO27" s="353"/>
      <c r="YP27" s="353"/>
      <c r="YQ27" s="353"/>
      <c r="YR27" s="353"/>
      <c r="YS27" s="353"/>
      <c r="YT27" s="353"/>
      <c r="YU27" s="353"/>
      <c r="YV27" s="353"/>
      <c r="YW27" s="353"/>
      <c r="YX27" s="353"/>
      <c r="YY27" s="353"/>
      <c r="YZ27" s="353"/>
      <c r="ZA27" s="353"/>
      <c r="ZB27" s="353"/>
      <c r="ZC27" s="353"/>
      <c r="ZD27" s="353"/>
      <c r="ZE27" s="353"/>
      <c r="ZF27" s="353"/>
      <c r="ZG27" s="353"/>
      <c r="ZH27" s="353"/>
      <c r="ZI27" s="353"/>
      <c r="ZJ27" s="353"/>
      <c r="ZK27" s="353"/>
      <c r="ZL27" s="353"/>
      <c r="ZM27" s="353"/>
      <c r="ZN27" s="353"/>
      <c r="ZO27" s="353"/>
      <c r="ZP27" s="353"/>
      <c r="ZQ27" s="353"/>
      <c r="ZR27" s="353"/>
      <c r="ZS27" s="353"/>
      <c r="ZT27" s="353"/>
      <c r="ZU27" s="353"/>
      <c r="ZV27" s="353"/>
      <c r="ZW27" s="353"/>
      <c r="ZX27" s="353"/>
      <c r="ZY27" s="353"/>
      <c r="ZZ27" s="353"/>
      <c r="AAA27" s="353"/>
      <c r="AAB27" s="353"/>
      <c r="AAC27" s="353"/>
      <c r="AAD27" s="353"/>
      <c r="AAE27" s="353"/>
      <c r="AAF27" s="353"/>
      <c r="AAG27" s="353"/>
      <c r="AAH27" s="353"/>
      <c r="AAI27" s="353"/>
      <c r="AAJ27" s="353"/>
      <c r="AAK27" s="353"/>
      <c r="AAL27" s="353"/>
      <c r="AAM27" s="353"/>
      <c r="AAN27" s="353"/>
      <c r="AAO27" s="353"/>
      <c r="AAP27" s="353"/>
      <c r="AAQ27" s="353"/>
      <c r="AAR27" s="353"/>
      <c r="AAS27" s="353"/>
      <c r="AAT27" s="353"/>
      <c r="AAU27" s="353"/>
      <c r="AAV27" s="353"/>
      <c r="AAW27" s="353"/>
      <c r="AAX27" s="353"/>
      <c r="AAY27" s="353"/>
      <c r="AAZ27" s="353"/>
      <c r="ABA27" s="353"/>
      <c r="ABB27" s="353"/>
      <c r="ABC27" s="353"/>
      <c r="ABD27" s="353"/>
      <c r="ABE27" s="353"/>
      <c r="ABF27" s="353"/>
      <c r="ABG27" s="353"/>
      <c r="ABH27" s="353"/>
      <c r="ABI27" s="353"/>
      <c r="ABJ27" s="353"/>
      <c r="ABK27" s="353"/>
      <c r="ABL27" s="353"/>
      <c r="ABM27" s="353"/>
      <c r="ABN27" s="353"/>
      <c r="ABO27" s="353"/>
      <c r="ABP27" s="353"/>
      <c r="ABQ27" s="353"/>
      <c r="ABR27" s="353"/>
      <c r="ABS27" s="353"/>
      <c r="ABT27" s="353"/>
      <c r="ABU27" s="353"/>
      <c r="ABV27" s="353"/>
      <c r="ABW27" s="353"/>
      <c r="ABX27" s="353"/>
      <c r="ABY27" s="353"/>
      <c r="ABZ27" s="353"/>
      <c r="ACA27" s="353"/>
      <c r="ACB27" s="353"/>
      <c r="ACC27" s="353"/>
      <c r="ACD27" s="353"/>
      <c r="ACE27" s="353"/>
      <c r="ACF27" s="353"/>
      <c r="ACG27" s="353"/>
      <c r="ACH27" s="353"/>
      <c r="ACI27" s="353"/>
      <c r="ACJ27" s="353"/>
      <c r="ACK27" s="353"/>
      <c r="ACL27" s="353"/>
      <c r="ACM27" s="353"/>
      <c r="ACN27" s="353"/>
      <c r="ACO27" s="353"/>
      <c r="ACP27" s="353"/>
      <c r="ACQ27" s="353"/>
      <c r="ACR27" s="353"/>
      <c r="ACS27" s="353"/>
      <c r="ACT27" s="353"/>
      <c r="ACU27" s="353"/>
      <c r="ACV27" s="353"/>
      <c r="ACW27" s="353"/>
      <c r="ACX27" s="353"/>
      <c r="ACY27" s="353"/>
      <c r="ACZ27" s="353"/>
      <c r="ADA27" s="353"/>
      <c r="ADB27" s="353"/>
      <c r="ADC27" s="353"/>
      <c r="ADD27" s="353"/>
      <c r="ADE27" s="353"/>
      <c r="ADF27" s="353"/>
      <c r="ADG27" s="353"/>
      <c r="ADH27" s="353"/>
      <c r="ADI27" s="353"/>
      <c r="ADJ27" s="353"/>
      <c r="ADK27" s="353"/>
      <c r="ADL27" s="353"/>
      <c r="ADM27" s="353"/>
      <c r="ADN27" s="353"/>
      <c r="ADO27" s="353"/>
      <c r="ADP27" s="353"/>
      <c r="ADQ27" s="353"/>
      <c r="ADR27" s="353"/>
      <c r="ADS27" s="353"/>
      <c r="ADT27" s="353"/>
      <c r="ADU27" s="353"/>
      <c r="ADV27" s="353"/>
      <c r="ADW27" s="353"/>
      <c r="ADX27" s="353"/>
      <c r="ADY27" s="353"/>
      <c r="ADZ27" s="353"/>
      <c r="AEA27" s="353"/>
      <c r="AEB27" s="353"/>
      <c r="AEC27" s="353"/>
      <c r="AED27" s="353"/>
      <c r="AEE27" s="353"/>
      <c r="AEF27" s="353"/>
      <c r="AEG27" s="353"/>
      <c r="AEH27" s="353"/>
      <c r="AEI27" s="353"/>
      <c r="AEJ27" s="353"/>
      <c r="AEK27" s="353"/>
      <c r="AEL27" s="353"/>
      <c r="AEM27" s="353"/>
      <c r="AEN27" s="353"/>
      <c r="AEO27" s="353"/>
      <c r="AEP27" s="353"/>
      <c r="AEQ27" s="353"/>
      <c r="AER27" s="353"/>
      <c r="AES27" s="353"/>
      <c r="AET27" s="353"/>
      <c r="AEU27" s="353"/>
      <c r="AEV27" s="353"/>
      <c r="AEW27" s="353"/>
      <c r="AEX27" s="353"/>
      <c r="AEY27" s="353"/>
      <c r="AEZ27" s="353"/>
      <c r="AFA27" s="353"/>
      <c r="AFB27" s="353"/>
      <c r="AFC27" s="353"/>
      <c r="AFD27" s="353"/>
      <c r="AFE27" s="353"/>
      <c r="AFF27" s="353"/>
      <c r="AFG27" s="353"/>
      <c r="AFH27" s="353"/>
      <c r="AFI27" s="353"/>
      <c r="AFJ27" s="353"/>
      <c r="AFK27" s="353"/>
      <c r="AFL27" s="353"/>
      <c r="AFM27" s="353"/>
      <c r="AFN27" s="353"/>
      <c r="AFO27" s="353"/>
      <c r="AFP27" s="353"/>
      <c r="AFQ27" s="353"/>
      <c r="AFR27" s="353"/>
      <c r="AFS27" s="353"/>
      <c r="AFT27" s="353"/>
      <c r="AFU27" s="353"/>
      <c r="AFV27" s="353"/>
      <c r="AFW27" s="353"/>
      <c r="AFX27" s="353"/>
      <c r="AFY27" s="353"/>
      <c r="AFZ27" s="353"/>
      <c r="AGA27" s="353"/>
      <c r="AGB27" s="353"/>
      <c r="AGC27" s="353"/>
      <c r="AGD27" s="353"/>
      <c r="AGE27" s="353"/>
      <c r="AGF27" s="353"/>
      <c r="AGG27" s="353"/>
      <c r="AGH27" s="353"/>
      <c r="AGI27" s="353"/>
      <c r="AGJ27" s="353"/>
      <c r="AGK27" s="353"/>
      <c r="AGL27" s="353"/>
      <c r="AGM27" s="353"/>
      <c r="AGN27" s="353"/>
      <c r="AGO27" s="353"/>
      <c r="AGP27" s="353"/>
      <c r="AGQ27" s="353"/>
      <c r="AGR27" s="353"/>
      <c r="AGS27" s="353"/>
      <c r="AGT27" s="353"/>
      <c r="AGU27" s="353"/>
      <c r="AGV27" s="353"/>
      <c r="AGW27" s="353"/>
      <c r="AGX27" s="353"/>
      <c r="AGY27" s="353"/>
      <c r="AGZ27" s="353"/>
      <c r="AHA27" s="353"/>
      <c r="AHB27" s="353"/>
      <c r="AHC27" s="353"/>
      <c r="AHD27" s="353"/>
      <c r="AHE27" s="353"/>
      <c r="AHF27" s="353"/>
      <c r="AHG27" s="353"/>
      <c r="AHH27" s="353"/>
      <c r="AHI27" s="353"/>
      <c r="AHJ27" s="353"/>
      <c r="AHK27" s="353"/>
      <c r="AHL27" s="353"/>
      <c r="AHM27" s="353"/>
      <c r="AHN27" s="353"/>
      <c r="AHO27" s="353"/>
      <c r="AHP27" s="353"/>
      <c r="AHQ27" s="353"/>
      <c r="AHR27" s="353"/>
      <c r="AHS27" s="353"/>
      <c r="AHT27" s="353"/>
      <c r="AHU27" s="353"/>
      <c r="AHV27" s="353"/>
      <c r="AHW27" s="353"/>
      <c r="AHX27" s="353"/>
      <c r="AHY27" s="353"/>
      <c r="AHZ27" s="353"/>
      <c r="AIA27" s="353"/>
      <c r="AIB27" s="353"/>
      <c r="AIC27" s="353"/>
      <c r="AID27" s="353"/>
      <c r="AIE27" s="353"/>
      <c r="AIF27" s="353"/>
      <c r="AIG27" s="353"/>
      <c r="AIH27" s="353"/>
      <c r="AII27" s="353"/>
      <c r="AIJ27" s="353"/>
      <c r="AIK27" s="353"/>
      <c r="AIL27" s="353"/>
      <c r="AIM27" s="353"/>
      <c r="AIN27" s="353"/>
      <c r="AIO27" s="353"/>
      <c r="AIP27" s="353"/>
      <c r="AIQ27" s="353"/>
      <c r="AIR27" s="353"/>
      <c r="AIS27" s="353"/>
      <c r="AIT27" s="353"/>
      <c r="AIU27" s="353"/>
      <c r="AIV27" s="353"/>
      <c r="AIW27" s="353"/>
      <c r="AIX27" s="353"/>
      <c r="AIY27" s="353"/>
      <c r="AIZ27" s="353"/>
      <c r="AJA27" s="353"/>
      <c r="AJB27" s="353"/>
      <c r="AJC27" s="353"/>
      <c r="AJD27" s="353"/>
      <c r="AJE27" s="353"/>
      <c r="AJF27" s="353"/>
      <c r="AJG27" s="353"/>
      <c r="AJH27" s="353"/>
      <c r="AJI27" s="353"/>
      <c r="AJJ27" s="353"/>
      <c r="AJK27" s="353"/>
      <c r="AJL27" s="353"/>
      <c r="AJM27" s="353"/>
      <c r="AJN27" s="353"/>
      <c r="AJO27" s="353"/>
      <c r="AJP27" s="353"/>
      <c r="AJQ27" s="353"/>
      <c r="AJR27" s="353"/>
      <c r="AJS27" s="353"/>
      <c r="AJT27" s="353"/>
      <c r="AJU27" s="353"/>
      <c r="AJV27" s="353"/>
      <c r="AJW27" s="353"/>
      <c r="AJX27" s="353"/>
      <c r="AJY27" s="353"/>
      <c r="AJZ27" s="353"/>
      <c r="AKA27" s="353"/>
      <c r="AKB27" s="353"/>
      <c r="AKC27" s="353"/>
      <c r="AKD27" s="353"/>
      <c r="AKE27" s="353"/>
      <c r="AKF27" s="353"/>
      <c r="AKG27" s="353"/>
      <c r="AKH27" s="353"/>
      <c r="AKI27" s="353"/>
      <c r="AKJ27" s="353"/>
      <c r="AKK27" s="353"/>
      <c r="AKL27" s="353"/>
      <c r="AKM27" s="353"/>
      <c r="AKN27" s="353"/>
      <c r="AKO27" s="353"/>
      <c r="AKP27" s="353"/>
      <c r="AKQ27" s="353"/>
      <c r="AKR27" s="353"/>
      <c r="AKS27" s="353"/>
      <c r="AKT27" s="353"/>
      <c r="AKU27" s="353"/>
      <c r="AKV27" s="353"/>
      <c r="AKW27" s="353"/>
      <c r="AKX27" s="353"/>
      <c r="AKY27" s="353"/>
      <c r="AKZ27" s="353"/>
      <c r="ALA27" s="353"/>
      <c r="ALB27" s="353"/>
      <c r="ALC27" s="353"/>
      <c r="ALD27" s="353"/>
      <c r="ALE27" s="353"/>
      <c r="ALF27" s="353"/>
      <c r="ALG27" s="353"/>
      <c r="ALH27" s="353"/>
      <c r="ALI27" s="353"/>
      <c r="ALJ27" s="353"/>
      <c r="ALK27" s="353"/>
      <c r="ALL27" s="353"/>
      <c r="ALM27" s="353"/>
      <c r="ALN27" s="353"/>
      <c r="ALO27" s="353"/>
      <c r="ALP27" s="353"/>
      <c r="ALQ27" s="353"/>
      <c r="ALR27" s="353"/>
      <c r="ALS27" s="353"/>
      <c r="ALT27" s="353"/>
      <c r="ALU27" s="353"/>
      <c r="ALV27" s="353"/>
      <c r="ALW27" s="353"/>
      <c r="ALX27" s="353"/>
      <c r="ALY27" s="353"/>
      <c r="ALZ27" s="353"/>
      <c r="AMA27" s="353"/>
      <c r="AMB27" s="353"/>
      <c r="AMC27" s="353"/>
      <c r="AMD27" s="353"/>
      <c r="AME27" s="353"/>
      <c r="AMF27" s="353"/>
      <c r="AMG27" s="353"/>
      <c r="AMH27" s="353"/>
      <c r="AMI27" s="353"/>
      <c r="AMJ27" s="353"/>
      <c r="AMK27" s="353"/>
      <c r="AML27" s="353"/>
      <c r="AMM27" s="353"/>
      <c r="AMN27" s="353"/>
      <c r="AMO27" s="353"/>
      <c r="AMP27" s="353"/>
    </row>
    <row r="28" spans="2:1030" s="354" customFormat="1" ht="12.75" x14ac:dyDescent="0.2">
      <c r="B28" s="404" t="str">
        <f t="shared" si="13"/>
        <v/>
      </c>
      <c r="C28" s="405" t="s">
        <v>63</v>
      </c>
      <c r="D28" s="406" t="s">
        <v>63</v>
      </c>
      <c r="E28" s="406" t="s">
        <v>63</v>
      </c>
      <c r="F28" s="407" t="s">
        <v>63</v>
      </c>
      <c r="G28" s="407" t="s">
        <v>63</v>
      </c>
      <c r="H28" s="408" t="s">
        <v>63</v>
      </c>
      <c r="I28" s="408" t="s">
        <v>63</v>
      </c>
      <c r="J28" s="408" t="s">
        <v>63</v>
      </c>
      <c r="K28" s="408" t="s">
        <v>63</v>
      </c>
      <c r="L28" s="408" t="s">
        <v>63</v>
      </c>
      <c r="M28" s="408" t="s">
        <v>63</v>
      </c>
      <c r="N28" s="409" t="s">
        <v>63</v>
      </c>
      <c r="O28" s="409" t="s">
        <v>63</v>
      </c>
      <c r="P28" s="409" t="s">
        <v>63</v>
      </c>
      <c r="Q28" s="409" t="str">
        <f t="shared" si="4"/>
        <v/>
      </c>
      <c r="R28" s="409" t="str">
        <f t="shared" si="5"/>
        <v/>
      </c>
      <c r="S28" s="410" t="str">
        <f t="shared" si="6"/>
        <v/>
      </c>
      <c r="T28" s="409" t="str">
        <f t="shared" si="7"/>
        <v/>
      </c>
      <c r="U28" s="411" t="str">
        <f t="shared" si="14"/>
        <v/>
      </c>
      <c r="V28" s="411" t="str">
        <f t="shared" si="9"/>
        <v/>
      </c>
      <c r="W28" s="412" t="s">
        <v>63</v>
      </c>
      <c r="X28" s="412" t="s">
        <v>63</v>
      </c>
      <c r="Y28" s="411" t="str">
        <f t="shared" si="10"/>
        <v/>
      </c>
      <c r="Z28" s="411" t="str">
        <f t="shared" si="10"/>
        <v/>
      </c>
      <c r="AA28" s="411" t="str">
        <f t="shared" si="11"/>
        <v/>
      </c>
      <c r="AB28" s="383"/>
      <c r="AC28" s="413"/>
      <c r="AD28" s="413" t="str">
        <f t="shared" si="12"/>
        <v/>
      </c>
      <c r="AE28" s="414" t="str">
        <f>IF($AD28="","",COUNTIFS($AD$14:AD28,"Yes"))</f>
        <v/>
      </c>
      <c r="AF28" s="413" t="str">
        <f>IF(C28="", "", AND(INDEX('Summary Dynamic'!$D$8:$D$10, MATCH(H28, 'Summary Dynamic'!$C$8:$C$10, 0))="Include", INDEX('Summary Dynamic'!$D$12:$D$14, MATCH(I28, 'Summary Dynamic'!$C$12:$C$14, 0))="Include", INDEX('Summary Dynamic'!$D$16:$D$17, MATCH(J28, 'Summary Dynamic'!$C$16:$C$17, 0))="Include", INDEX('Summary Dynamic'!$D$19:$D$20, MATCH(K28, 'Summary Dynamic'!$C$19:$C$20, 0))="Include", INDEX('Summary Dynamic'!$D$22:$D$23, MATCH(L28, 'Summary Dynamic'!$C$22:$C$23, 0))="Include", INDEX('Summary Dynamic'!$D$25:$D$26, MATCH(M28, 'Summary Dynamic'!$C$25:$C$26, 0))="Include"))</f>
        <v/>
      </c>
      <c r="AG28" s="414" t="str">
        <f>IFERROR(IF(C28="", "", IF(AF28=TRUE, COUNTIFS($AF$14:AF28, TRUE), "n/a")), "n/a")</f>
        <v/>
      </c>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c r="DN28" s="353"/>
      <c r="DO28" s="353"/>
      <c r="DP28" s="353"/>
      <c r="DQ28" s="353"/>
      <c r="DR28" s="353"/>
      <c r="DS28" s="353"/>
      <c r="DT28" s="353"/>
      <c r="DU28" s="353"/>
      <c r="DV28" s="353"/>
      <c r="DW28" s="353"/>
      <c r="DX28" s="353"/>
      <c r="DY28" s="353"/>
      <c r="DZ28" s="353"/>
      <c r="EA28" s="353"/>
      <c r="EB28" s="353"/>
      <c r="EC28" s="353"/>
      <c r="ED28" s="353"/>
      <c r="EE28" s="353"/>
      <c r="EF28" s="353"/>
      <c r="EG28" s="353"/>
      <c r="EH28" s="353"/>
      <c r="EI28" s="353"/>
      <c r="EJ28" s="353"/>
      <c r="EK28" s="353"/>
      <c r="EL28" s="353"/>
      <c r="EM28" s="353"/>
      <c r="EN28" s="353"/>
      <c r="EO28" s="353"/>
      <c r="EP28" s="353"/>
      <c r="EQ28" s="353"/>
      <c r="ER28" s="353"/>
      <c r="ES28" s="353"/>
      <c r="ET28" s="353"/>
      <c r="EU28" s="353"/>
      <c r="EV28" s="353"/>
      <c r="EW28" s="353"/>
      <c r="EX28" s="353"/>
      <c r="EY28" s="353"/>
      <c r="EZ28" s="353"/>
      <c r="FA28" s="353"/>
      <c r="FB28" s="353"/>
      <c r="FC28" s="353"/>
      <c r="FD28" s="353"/>
      <c r="FE28" s="353"/>
      <c r="FF28" s="353"/>
      <c r="FG28" s="353"/>
      <c r="FH28" s="353"/>
      <c r="FI28" s="353"/>
      <c r="FJ28" s="353"/>
      <c r="FK28" s="353"/>
      <c r="FL28" s="353"/>
      <c r="FM28" s="353"/>
      <c r="FN28" s="353"/>
      <c r="FO28" s="353"/>
      <c r="FP28" s="353"/>
      <c r="FQ28" s="353"/>
      <c r="FR28" s="353"/>
      <c r="FS28" s="353"/>
      <c r="FT28" s="353"/>
      <c r="FU28" s="353"/>
      <c r="FV28" s="353"/>
      <c r="FW28" s="353"/>
      <c r="FX28" s="353"/>
      <c r="FY28" s="353"/>
      <c r="FZ28" s="353"/>
      <c r="GA28" s="353"/>
      <c r="GB28" s="353"/>
      <c r="GC28" s="353"/>
      <c r="GD28" s="353"/>
      <c r="GE28" s="353"/>
      <c r="GF28" s="353"/>
      <c r="GG28" s="353"/>
      <c r="GH28" s="353"/>
      <c r="GI28" s="353"/>
      <c r="GJ28" s="353"/>
      <c r="GK28" s="353"/>
      <c r="GL28" s="353"/>
      <c r="GM28" s="353"/>
      <c r="GN28" s="353"/>
      <c r="GO28" s="353"/>
      <c r="GP28" s="353"/>
      <c r="GQ28" s="353"/>
      <c r="GR28" s="353"/>
      <c r="GS28" s="353"/>
      <c r="GT28" s="353"/>
      <c r="GU28" s="353"/>
      <c r="GV28" s="353"/>
      <c r="GW28" s="353"/>
      <c r="GX28" s="353"/>
      <c r="GY28" s="353"/>
      <c r="GZ28" s="353"/>
      <c r="HA28" s="353"/>
      <c r="HB28" s="353"/>
      <c r="HC28" s="353"/>
      <c r="HD28" s="353"/>
      <c r="HE28" s="353"/>
      <c r="HF28" s="353"/>
      <c r="HG28" s="353"/>
      <c r="HH28" s="353"/>
      <c r="HI28" s="353"/>
      <c r="HJ28" s="353"/>
      <c r="HK28" s="353"/>
      <c r="HL28" s="353"/>
      <c r="HM28" s="353"/>
      <c r="HN28" s="353"/>
      <c r="HO28" s="353"/>
      <c r="HP28" s="353"/>
      <c r="HQ28" s="353"/>
      <c r="HR28" s="353"/>
      <c r="HS28" s="353"/>
      <c r="HT28" s="353"/>
      <c r="HU28" s="353"/>
      <c r="HV28" s="353"/>
      <c r="HW28" s="353"/>
      <c r="HX28" s="353"/>
      <c r="HY28" s="353"/>
      <c r="HZ28" s="353"/>
      <c r="IA28" s="353"/>
      <c r="IB28" s="353"/>
      <c r="IC28" s="353"/>
      <c r="ID28" s="353"/>
      <c r="IE28" s="353"/>
      <c r="IF28" s="353"/>
      <c r="IG28" s="353"/>
      <c r="IH28" s="353"/>
      <c r="II28" s="353"/>
      <c r="IJ28" s="353"/>
      <c r="IK28" s="353"/>
      <c r="IL28" s="353"/>
      <c r="IM28" s="353"/>
      <c r="IN28" s="353"/>
      <c r="IO28" s="353"/>
      <c r="IP28" s="353"/>
      <c r="IQ28" s="353"/>
      <c r="IR28" s="353"/>
      <c r="IS28" s="353"/>
      <c r="IT28" s="353"/>
      <c r="IU28" s="353"/>
      <c r="IV28" s="353"/>
      <c r="IW28" s="353"/>
      <c r="IX28" s="353"/>
      <c r="IY28" s="353"/>
      <c r="IZ28" s="353"/>
      <c r="JA28" s="353"/>
      <c r="JB28" s="353"/>
      <c r="JC28" s="353"/>
      <c r="JD28" s="353"/>
      <c r="JE28" s="353"/>
      <c r="JF28" s="353"/>
      <c r="JG28" s="353"/>
      <c r="JH28" s="353"/>
      <c r="JI28" s="353"/>
      <c r="JJ28" s="353"/>
      <c r="JK28" s="353"/>
      <c r="JL28" s="353"/>
      <c r="JM28" s="353"/>
      <c r="JN28" s="353"/>
      <c r="JO28" s="353"/>
      <c r="JP28" s="353"/>
      <c r="JQ28" s="353"/>
      <c r="JR28" s="353"/>
      <c r="JS28" s="353"/>
      <c r="JT28" s="353"/>
      <c r="JU28" s="353"/>
      <c r="JV28" s="353"/>
      <c r="JW28" s="353"/>
      <c r="JX28" s="353"/>
      <c r="JY28" s="353"/>
      <c r="JZ28" s="353"/>
      <c r="KA28" s="353"/>
      <c r="KB28" s="353"/>
      <c r="KC28" s="353"/>
      <c r="KD28" s="353"/>
      <c r="KE28" s="353"/>
      <c r="KF28" s="353"/>
      <c r="KG28" s="353"/>
      <c r="KH28" s="353"/>
      <c r="KI28" s="353"/>
      <c r="KJ28" s="353"/>
      <c r="KK28" s="353"/>
      <c r="KL28" s="353"/>
      <c r="KM28" s="353"/>
      <c r="KN28" s="353"/>
      <c r="KO28" s="353"/>
      <c r="KP28" s="353"/>
      <c r="KQ28" s="353"/>
      <c r="KR28" s="353"/>
      <c r="KS28" s="353"/>
      <c r="KT28" s="353"/>
      <c r="KU28" s="353"/>
      <c r="KV28" s="353"/>
      <c r="KW28" s="353"/>
      <c r="KX28" s="353"/>
      <c r="KY28" s="353"/>
      <c r="KZ28" s="353"/>
      <c r="LA28" s="353"/>
      <c r="LB28" s="353"/>
      <c r="LC28" s="353"/>
      <c r="LD28" s="353"/>
      <c r="LE28" s="353"/>
      <c r="LF28" s="353"/>
      <c r="LG28" s="353"/>
      <c r="LH28" s="353"/>
      <c r="LI28" s="353"/>
      <c r="LJ28" s="353"/>
      <c r="LK28" s="353"/>
      <c r="LL28" s="353"/>
      <c r="LM28" s="353"/>
      <c r="LN28" s="353"/>
      <c r="LO28" s="353"/>
      <c r="LP28" s="353"/>
      <c r="LQ28" s="353"/>
      <c r="LR28" s="353"/>
      <c r="LS28" s="353"/>
      <c r="LT28" s="353"/>
      <c r="LU28" s="353"/>
      <c r="LV28" s="353"/>
      <c r="LW28" s="353"/>
      <c r="LX28" s="353"/>
      <c r="LY28" s="353"/>
      <c r="LZ28" s="353"/>
      <c r="MA28" s="353"/>
      <c r="MB28" s="353"/>
      <c r="MC28" s="353"/>
      <c r="MD28" s="353"/>
      <c r="ME28" s="353"/>
      <c r="MF28" s="353"/>
      <c r="MG28" s="353"/>
      <c r="MH28" s="353"/>
      <c r="MI28" s="353"/>
      <c r="MJ28" s="353"/>
      <c r="MK28" s="353"/>
      <c r="ML28" s="353"/>
      <c r="MM28" s="353"/>
      <c r="MN28" s="353"/>
      <c r="MO28" s="353"/>
      <c r="MP28" s="353"/>
      <c r="MQ28" s="353"/>
      <c r="MR28" s="353"/>
      <c r="MS28" s="353"/>
      <c r="MT28" s="353"/>
      <c r="MU28" s="353"/>
      <c r="MV28" s="353"/>
      <c r="MW28" s="353"/>
      <c r="MX28" s="353"/>
      <c r="MY28" s="353"/>
      <c r="MZ28" s="353"/>
      <c r="NA28" s="353"/>
      <c r="NB28" s="353"/>
      <c r="NC28" s="353"/>
      <c r="ND28" s="353"/>
      <c r="NE28" s="353"/>
      <c r="NF28" s="353"/>
      <c r="NG28" s="353"/>
      <c r="NH28" s="353"/>
      <c r="NI28" s="353"/>
      <c r="NJ28" s="353"/>
      <c r="NK28" s="353"/>
      <c r="NL28" s="353"/>
      <c r="NM28" s="353"/>
      <c r="NN28" s="353"/>
      <c r="NO28" s="353"/>
      <c r="NP28" s="353"/>
      <c r="NQ28" s="353"/>
      <c r="NR28" s="353"/>
      <c r="NS28" s="353"/>
      <c r="NT28" s="353"/>
      <c r="NU28" s="353"/>
      <c r="NV28" s="353"/>
      <c r="NW28" s="353"/>
      <c r="NX28" s="353"/>
      <c r="NY28" s="353"/>
      <c r="NZ28" s="353"/>
      <c r="OA28" s="353"/>
      <c r="OB28" s="353"/>
      <c r="OC28" s="353"/>
      <c r="OD28" s="353"/>
      <c r="OE28" s="353"/>
      <c r="OF28" s="353"/>
      <c r="OG28" s="353"/>
      <c r="OH28" s="353"/>
      <c r="OI28" s="353"/>
      <c r="OJ28" s="353"/>
      <c r="OK28" s="353"/>
      <c r="OL28" s="353"/>
      <c r="OM28" s="353"/>
      <c r="ON28" s="353"/>
      <c r="OO28" s="353"/>
      <c r="OP28" s="353"/>
      <c r="OQ28" s="353"/>
      <c r="OR28" s="353"/>
      <c r="OS28" s="353"/>
      <c r="OT28" s="353"/>
      <c r="OU28" s="353"/>
      <c r="OV28" s="353"/>
      <c r="OW28" s="353"/>
      <c r="OX28" s="353"/>
      <c r="OY28" s="353"/>
      <c r="OZ28" s="353"/>
      <c r="PA28" s="353"/>
      <c r="PB28" s="353"/>
      <c r="PC28" s="353"/>
      <c r="PD28" s="353"/>
      <c r="PE28" s="353"/>
      <c r="PF28" s="353"/>
      <c r="PG28" s="353"/>
      <c r="PH28" s="353"/>
      <c r="PI28" s="353"/>
      <c r="PJ28" s="353"/>
      <c r="PK28" s="353"/>
      <c r="PL28" s="353"/>
      <c r="PM28" s="353"/>
      <c r="PN28" s="353"/>
      <c r="PO28" s="353"/>
      <c r="PP28" s="353"/>
      <c r="PQ28" s="353"/>
      <c r="PR28" s="353"/>
      <c r="PS28" s="353"/>
      <c r="PT28" s="353"/>
      <c r="PU28" s="353"/>
      <c r="PV28" s="353"/>
      <c r="PW28" s="353"/>
      <c r="PX28" s="353"/>
      <c r="PY28" s="353"/>
      <c r="PZ28" s="353"/>
      <c r="QA28" s="353"/>
      <c r="QB28" s="353"/>
      <c r="QC28" s="353"/>
      <c r="QD28" s="353"/>
      <c r="QE28" s="353"/>
      <c r="QF28" s="353"/>
      <c r="QG28" s="353"/>
      <c r="QH28" s="353"/>
      <c r="QI28" s="353"/>
      <c r="QJ28" s="353"/>
      <c r="QK28" s="353"/>
      <c r="QL28" s="353"/>
      <c r="QM28" s="353"/>
      <c r="QN28" s="353"/>
      <c r="QO28" s="353"/>
      <c r="QP28" s="353"/>
      <c r="QQ28" s="353"/>
      <c r="QR28" s="353"/>
      <c r="QS28" s="353"/>
      <c r="QT28" s="353"/>
      <c r="QU28" s="353"/>
      <c r="QV28" s="353"/>
      <c r="QW28" s="353"/>
      <c r="QX28" s="353"/>
      <c r="QY28" s="353"/>
      <c r="QZ28" s="353"/>
      <c r="RA28" s="353"/>
      <c r="RB28" s="353"/>
      <c r="RC28" s="353"/>
      <c r="RD28" s="353"/>
      <c r="RE28" s="353"/>
      <c r="RF28" s="353"/>
      <c r="RG28" s="353"/>
      <c r="RH28" s="353"/>
      <c r="RI28" s="353"/>
      <c r="RJ28" s="353"/>
      <c r="RK28" s="353"/>
      <c r="RL28" s="353"/>
      <c r="RM28" s="353"/>
      <c r="RN28" s="353"/>
      <c r="RO28" s="353"/>
      <c r="RP28" s="353"/>
      <c r="RQ28" s="353"/>
      <c r="RR28" s="353"/>
      <c r="RS28" s="353"/>
      <c r="RT28" s="353"/>
      <c r="RU28" s="353"/>
      <c r="RV28" s="353"/>
      <c r="RW28" s="353"/>
      <c r="RX28" s="353"/>
      <c r="RY28" s="353"/>
      <c r="RZ28" s="353"/>
      <c r="SA28" s="353"/>
      <c r="SB28" s="353"/>
      <c r="SC28" s="353"/>
      <c r="SD28" s="353"/>
      <c r="SE28" s="353"/>
      <c r="SF28" s="353"/>
      <c r="SG28" s="353"/>
      <c r="SH28" s="353"/>
      <c r="SI28" s="353"/>
      <c r="SJ28" s="353"/>
      <c r="SK28" s="353"/>
      <c r="SL28" s="353"/>
      <c r="SM28" s="353"/>
      <c r="SN28" s="353"/>
      <c r="SO28" s="353"/>
      <c r="SP28" s="353"/>
      <c r="SQ28" s="353"/>
      <c r="SR28" s="353"/>
      <c r="SS28" s="353"/>
      <c r="ST28" s="353"/>
      <c r="SU28" s="353"/>
      <c r="SV28" s="353"/>
      <c r="SW28" s="353"/>
      <c r="SX28" s="353"/>
      <c r="SY28" s="353"/>
      <c r="SZ28" s="353"/>
      <c r="TA28" s="353"/>
      <c r="TB28" s="353"/>
      <c r="TC28" s="353"/>
      <c r="TD28" s="353"/>
      <c r="TE28" s="353"/>
      <c r="TF28" s="353"/>
      <c r="TG28" s="353"/>
      <c r="TH28" s="353"/>
      <c r="TI28" s="353"/>
      <c r="TJ28" s="353"/>
      <c r="TK28" s="353"/>
      <c r="TL28" s="353"/>
      <c r="TM28" s="353"/>
      <c r="TN28" s="353"/>
      <c r="TO28" s="353"/>
      <c r="TP28" s="353"/>
      <c r="TQ28" s="353"/>
      <c r="TR28" s="353"/>
      <c r="TS28" s="353"/>
      <c r="TT28" s="353"/>
      <c r="TU28" s="353"/>
      <c r="TV28" s="353"/>
      <c r="TW28" s="353"/>
      <c r="TX28" s="353"/>
      <c r="TY28" s="353"/>
      <c r="TZ28" s="353"/>
      <c r="UA28" s="353"/>
      <c r="UB28" s="353"/>
      <c r="UC28" s="353"/>
      <c r="UD28" s="353"/>
      <c r="UE28" s="353"/>
      <c r="UF28" s="353"/>
      <c r="UG28" s="353"/>
      <c r="UH28" s="353"/>
      <c r="UI28" s="353"/>
      <c r="UJ28" s="353"/>
      <c r="UK28" s="353"/>
      <c r="UL28" s="353"/>
      <c r="UM28" s="353"/>
      <c r="UN28" s="353"/>
      <c r="UO28" s="353"/>
      <c r="UP28" s="353"/>
      <c r="UQ28" s="353"/>
      <c r="UR28" s="353"/>
      <c r="US28" s="353"/>
      <c r="UT28" s="353"/>
      <c r="UU28" s="353"/>
      <c r="UV28" s="353"/>
      <c r="UW28" s="353"/>
      <c r="UX28" s="353"/>
      <c r="UY28" s="353"/>
      <c r="UZ28" s="353"/>
      <c r="VA28" s="353"/>
      <c r="VB28" s="353"/>
      <c r="VC28" s="353"/>
      <c r="VD28" s="353"/>
      <c r="VE28" s="353"/>
      <c r="VF28" s="353"/>
      <c r="VG28" s="353"/>
      <c r="VH28" s="353"/>
      <c r="VI28" s="353"/>
      <c r="VJ28" s="353"/>
      <c r="VK28" s="353"/>
      <c r="VL28" s="353"/>
      <c r="VM28" s="353"/>
      <c r="VN28" s="353"/>
      <c r="VO28" s="353"/>
      <c r="VP28" s="353"/>
      <c r="VQ28" s="353"/>
      <c r="VR28" s="353"/>
      <c r="VS28" s="353"/>
      <c r="VT28" s="353"/>
      <c r="VU28" s="353"/>
      <c r="VV28" s="353"/>
      <c r="VW28" s="353"/>
      <c r="VX28" s="353"/>
      <c r="VY28" s="353"/>
      <c r="VZ28" s="353"/>
      <c r="WA28" s="353"/>
      <c r="WB28" s="353"/>
      <c r="WC28" s="353"/>
      <c r="WD28" s="353"/>
      <c r="WE28" s="353"/>
      <c r="WF28" s="353"/>
      <c r="WG28" s="353"/>
      <c r="WH28" s="353"/>
      <c r="WI28" s="353"/>
      <c r="WJ28" s="353"/>
      <c r="WK28" s="353"/>
      <c r="WL28" s="353"/>
      <c r="WM28" s="353"/>
      <c r="WN28" s="353"/>
      <c r="WO28" s="353"/>
      <c r="WP28" s="353"/>
      <c r="WQ28" s="353"/>
      <c r="WR28" s="353"/>
      <c r="WS28" s="353"/>
      <c r="WT28" s="353"/>
      <c r="WU28" s="353"/>
      <c r="WV28" s="353"/>
      <c r="WW28" s="353"/>
      <c r="WX28" s="353"/>
      <c r="WY28" s="353"/>
      <c r="WZ28" s="353"/>
      <c r="XA28" s="353"/>
      <c r="XB28" s="353"/>
      <c r="XC28" s="353"/>
      <c r="XD28" s="353"/>
      <c r="XE28" s="353"/>
      <c r="XF28" s="353"/>
      <c r="XG28" s="353"/>
      <c r="XH28" s="353"/>
      <c r="XI28" s="353"/>
      <c r="XJ28" s="353"/>
      <c r="XK28" s="353"/>
      <c r="XL28" s="353"/>
      <c r="XM28" s="353"/>
      <c r="XN28" s="353"/>
      <c r="XO28" s="353"/>
      <c r="XP28" s="353"/>
      <c r="XQ28" s="353"/>
      <c r="XR28" s="353"/>
      <c r="XS28" s="353"/>
      <c r="XT28" s="353"/>
      <c r="XU28" s="353"/>
      <c r="XV28" s="353"/>
      <c r="XW28" s="353"/>
      <c r="XX28" s="353"/>
      <c r="XY28" s="353"/>
      <c r="XZ28" s="353"/>
      <c r="YA28" s="353"/>
      <c r="YB28" s="353"/>
      <c r="YC28" s="353"/>
      <c r="YD28" s="353"/>
      <c r="YE28" s="353"/>
      <c r="YF28" s="353"/>
      <c r="YG28" s="353"/>
      <c r="YH28" s="353"/>
      <c r="YI28" s="353"/>
      <c r="YJ28" s="353"/>
      <c r="YK28" s="353"/>
      <c r="YL28" s="353"/>
      <c r="YM28" s="353"/>
      <c r="YN28" s="353"/>
      <c r="YO28" s="353"/>
      <c r="YP28" s="353"/>
      <c r="YQ28" s="353"/>
      <c r="YR28" s="353"/>
      <c r="YS28" s="353"/>
      <c r="YT28" s="353"/>
      <c r="YU28" s="353"/>
      <c r="YV28" s="353"/>
      <c r="YW28" s="353"/>
      <c r="YX28" s="353"/>
      <c r="YY28" s="353"/>
      <c r="YZ28" s="353"/>
      <c r="ZA28" s="353"/>
      <c r="ZB28" s="353"/>
      <c r="ZC28" s="353"/>
      <c r="ZD28" s="353"/>
      <c r="ZE28" s="353"/>
      <c r="ZF28" s="353"/>
      <c r="ZG28" s="353"/>
      <c r="ZH28" s="353"/>
      <c r="ZI28" s="353"/>
      <c r="ZJ28" s="353"/>
      <c r="ZK28" s="353"/>
      <c r="ZL28" s="353"/>
      <c r="ZM28" s="353"/>
      <c r="ZN28" s="353"/>
      <c r="ZO28" s="353"/>
      <c r="ZP28" s="353"/>
      <c r="ZQ28" s="353"/>
      <c r="ZR28" s="353"/>
      <c r="ZS28" s="353"/>
      <c r="ZT28" s="353"/>
      <c r="ZU28" s="353"/>
      <c r="ZV28" s="353"/>
      <c r="ZW28" s="353"/>
      <c r="ZX28" s="353"/>
      <c r="ZY28" s="353"/>
      <c r="ZZ28" s="353"/>
      <c r="AAA28" s="353"/>
      <c r="AAB28" s="353"/>
      <c r="AAC28" s="353"/>
      <c r="AAD28" s="353"/>
      <c r="AAE28" s="353"/>
      <c r="AAF28" s="353"/>
      <c r="AAG28" s="353"/>
      <c r="AAH28" s="353"/>
      <c r="AAI28" s="353"/>
      <c r="AAJ28" s="353"/>
      <c r="AAK28" s="353"/>
      <c r="AAL28" s="353"/>
      <c r="AAM28" s="353"/>
      <c r="AAN28" s="353"/>
      <c r="AAO28" s="353"/>
      <c r="AAP28" s="353"/>
      <c r="AAQ28" s="353"/>
      <c r="AAR28" s="353"/>
      <c r="AAS28" s="353"/>
      <c r="AAT28" s="353"/>
      <c r="AAU28" s="353"/>
      <c r="AAV28" s="353"/>
      <c r="AAW28" s="353"/>
      <c r="AAX28" s="353"/>
      <c r="AAY28" s="353"/>
      <c r="AAZ28" s="353"/>
      <c r="ABA28" s="353"/>
      <c r="ABB28" s="353"/>
      <c r="ABC28" s="353"/>
      <c r="ABD28" s="353"/>
      <c r="ABE28" s="353"/>
      <c r="ABF28" s="353"/>
      <c r="ABG28" s="353"/>
      <c r="ABH28" s="353"/>
      <c r="ABI28" s="353"/>
      <c r="ABJ28" s="353"/>
      <c r="ABK28" s="353"/>
      <c r="ABL28" s="353"/>
      <c r="ABM28" s="353"/>
      <c r="ABN28" s="353"/>
      <c r="ABO28" s="353"/>
      <c r="ABP28" s="353"/>
      <c r="ABQ28" s="353"/>
      <c r="ABR28" s="353"/>
      <c r="ABS28" s="353"/>
      <c r="ABT28" s="353"/>
      <c r="ABU28" s="353"/>
      <c r="ABV28" s="353"/>
      <c r="ABW28" s="353"/>
      <c r="ABX28" s="353"/>
      <c r="ABY28" s="353"/>
      <c r="ABZ28" s="353"/>
      <c r="ACA28" s="353"/>
      <c r="ACB28" s="353"/>
      <c r="ACC28" s="353"/>
      <c r="ACD28" s="353"/>
      <c r="ACE28" s="353"/>
      <c r="ACF28" s="353"/>
      <c r="ACG28" s="353"/>
      <c r="ACH28" s="353"/>
      <c r="ACI28" s="353"/>
      <c r="ACJ28" s="353"/>
      <c r="ACK28" s="353"/>
      <c r="ACL28" s="353"/>
      <c r="ACM28" s="353"/>
      <c r="ACN28" s="353"/>
      <c r="ACO28" s="353"/>
      <c r="ACP28" s="353"/>
      <c r="ACQ28" s="353"/>
      <c r="ACR28" s="353"/>
      <c r="ACS28" s="353"/>
      <c r="ACT28" s="353"/>
      <c r="ACU28" s="353"/>
      <c r="ACV28" s="353"/>
      <c r="ACW28" s="353"/>
      <c r="ACX28" s="353"/>
      <c r="ACY28" s="353"/>
      <c r="ACZ28" s="353"/>
      <c r="ADA28" s="353"/>
      <c r="ADB28" s="353"/>
      <c r="ADC28" s="353"/>
      <c r="ADD28" s="353"/>
      <c r="ADE28" s="353"/>
      <c r="ADF28" s="353"/>
      <c r="ADG28" s="353"/>
      <c r="ADH28" s="353"/>
      <c r="ADI28" s="353"/>
      <c r="ADJ28" s="353"/>
      <c r="ADK28" s="353"/>
      <c r="ADL28" s="353"/>
      <c r="ADM28" s="353"/>
      <c r="ADN28" s="353"/>
      <c r="ADO28" s="353"/>
      <c r="ADP28" s="353"/>
      <c r="ADQ28" s="353"/>
      <c r="ADR28" s="353"/>
      <c r="ADS28" s="353"/>
      <c r="ADT28" s="353"/>
      <c r="ADU28" s="353"/>
      <c r="ADV28" s="353"/>
      <c r="ADW28" s="353"/>
      <c r="ADX28" s="353"/>
      <c r="ADY28" s="353"/>
      <c r="ADZ28" s="353"/>
      <c r="AEA28" s="353"/>
      <c r="AEB28" s="353"/>
      <c r="AEC28" s="353"/>
      <c r="AED28" s="353"/>
      <c r="AEE28" s="353"/>
      <c r="AEF28" s="353"/>
      <c r="AEG28" s="353"/>
      <c r="AEH28" s="353"/>
      <c r="AEI28" s="353"/>
      <c r="AEJ28" s="353"/>
      <c r="AEK28" s="353"/>
      <c r="AEL28" s="353"/>
      <c r="AEM28" s="353"/>
      <c r="AEN28" s="353"/>
      <c r="AEO28" s="353"/>
      <c r="AEP28" s="353"/>
      <c r="AEQ28" s="353"/>
      <c r="AER28" s="353"/>
      <c r="AES28" s="353"/>
      <c r="AET28" s="353"/>
      <c r="AEU28" s="353"/>
      <c r="AEV28" s="353"/>
      <c r="AEW28" s="353"/>
      <c r="AEX28" s="353"/>
      <c r="AEY28" s="353"/>
      <c r="AEZ28" s="353"/>
      <c r="AFA28" s="353"/>
      <c r="AFB28" s="353"/>
      <c r="AFC28" s="353"/>
      <c r="AFD28" s="353"/>
      <c r="AFE28" s="353"/>
      <c r="AFF28" s="353"/>
      <c r="AFG28" s="353"/>
      <c r="AFH28" s="353"/>
      <c r="AFI28" s="353"/>
      <c r="AFJ28" s="353"/>
      <c r="AFK28" s="353"/>
      <c r="AFL28" s="353"/>
      <c r="AFM28" s="353"/>
      <c r="AFN28" s="353"/>
      <c r="AFO28" s="353"/>
      <c r="AFP28" s="353"/>
      <c r="AFQ28" s="353"/>
      <c r="AFR28" s="353"/>
      <c r="AFS28" s="353"/>
      <c r="AFT28" s="353"/>
      <c r="AFU28" s="353"/>
      <c r="AFV28" s="353"/>
      <c r="AFW28" s="353"/>
      <c r="AFX28" s="353"/>
      <c r="AFY28" s="353"/>
      <c r="AFZ28" s="353"/>
      <c r="AGA28" s="353"/>
      <c r="AGB28" s="353"/>
      <c r="AGC28" s="353"/>
      <c r="AGD28" s="353"/>
      <c r="AGE28" s="353"/>
      <c r="AGF28" s="353"/>
      <c r="AGG28" s="353"/>
      <c r="AGH28" s="353"/>
      <c r="AGI28" s="353"/>
      <c r="AGJ28" s="353"/>
      <c r="AGK28" s="353"/>
      <c r="AGL28" s="353"/>
      <c r="AGM28" s="353"/>
      <c r="AGN28" s="353"/>
      <c r="AGO28" s="353"/>
      <c r="AGP28" s="353"/>
      <c r="AGQ28" s="353"/>
      <c r="AGR28" s="353"/>
      <c r="AGS28" s="353"/>
      <c r="AGT28" s="353"/>
      <c r="AGU28" s="353"/>
      <c r="AGV28" s="353"/>
      <c r="AGW28" s="353"/>
      <c r="AGX28" s="353"/>
      <c r="AGY28" s="353"/>
      <c r="AGZ28" s="353"/>
      <c r="AHA28" s="353"/>
      <c r="AHB28" s="353"/>
      <c r="AHC28" s="353"/>
      <c r="AHD28" s="353"/>
      <c r="AHE28" s="353"/>
      <c r="AHF28" s="353"/>
      <c r="AHG28" s="353"/>
      <c r="AHH28" s="353"/>
      <c r="AHI28" s="353"/>
      <c r="AHJ28" s="353"/>
      <c r="AHK28" s="353"/>
      <c r="AHL28" s="353"/>
      <c r="AHM28" s="353"/>
      <c r="AHN28" s="353"/>
      <c r="AHO28" s="353"/>
      <c r="AHP28" s="353"/>
      <c r="AHQ28" s="353"/>
      <c r="AHR28" s="353"/>
      <c r="AHS28" s="353"/>
      <c r="AHT28" s="353"/>
      <c r="AHU28" s="353"/>
      <c r="AHV28" s="353"/>
      <c r="AHW28" s="353"/>
      <c r="AHX28" s="353"/>
      <c r="AHY28" s="353"/>
      <c r="AHZ28" s="353"/>
      <c r="AIA28" s="353"/>
      <c r="AIB28" s="353"/>
      <c r="AIC28" s="353"/>
      <c r="AID28" s="353"/>
      <c r="AIE28" s="353"/>
      <c r="AIF28" s="353"/>
      <c r="AIG28" s="353"/>
      <c r="AIH28" s="353"/>
      <c r="AII28" s="353"/>
      <c r="AIJ28" s="353"/>
      <c r="AIK28" s="353"/>
      <c r="AIL28" s="353"/>
      <c r="AIM28" s="353"/>
      <c r="AIN28" s="353"/>
      <c r="AIO28" s="353"/>
      <c r="AIP28" s="353"/>
      <c r="AIQ28" s="353"/>
      <c r="AIR28" s="353"/>
      <c r="AIS28" s="353"/>
      <c r="AIT28" s="353"/>
      <c r="AIU28" s="353"/>
      <c r="AIV28" s="353"/>
      <c r="AIW28" s="353"/>
      <c r="AIX28" s="353"/>
      <c r="AIY28" s="353"/>
      <c r="AIZ28" s="353"/>
      <c r="AJA28" s="353"/>
      <c r="AJB28" s="353"/>
      <c r="AJC28" s="353"/>
      <c r="AJD28" s="353"/>
      <c r="AJE28" s="353"/>
      <c r="AJF28" s="353"/>
      <c r="AJG28" s="353"/>
      <c r="AJH28" s="353"/>
      <c r="AJI28" s="353"/>
      <c r="AJJ28" s="353"/>
      <c r="AJK28" s="353"/>
      <c r="AJL28" s="353"/>
      <c r="AJM28" s="353"/>
      <c r="AJN28" s="353"/>
      <c r="AJO28" s="353"/>
      <c r="AJP28" s="353"/>
      <c r="AJQ28" s="353"/>
      <c r="AJR28" s="353"/>
      <c r="AJS28" s="353"/>
      <c r="AJT28" s="353"/>
      <c r="AJU28" s="353"/>
      <c r="AJV28" s="353"/>
      <c r="AJW28" s="353"/>
      <c r="AJX28" s="353"/>
      <c r="AJY28" s="353"/>
      <c r="AJZ28" s="353"/>
      <c r="AKA28" s="353"/>
      <c r="AKB28" s="353"/>
      <c r="AKC28" s="353"/>
      <c r="AKD28" s="353"/>
      <c r="AKE28" s="353"/>
      <c r="AKF28" s="353"/>
      <c r="AKG28" s="353"/>
      <c r="AKH28" s="353"/>
      <c r="AKI28" s="353"/>
      <c r="AKJ28" s="353"/>
      <c r="AKK28" s="353"/>
      <c r="AKL28" s="353"/>
      <c r="AKM28" s="353"/>
      <c r="AKN28" s="353"/>
      <c r="AKO28" s="353"/>
      <c r="AKP28" s="353"/>
      <c r="AKQ28" s="353"/>
      <c r="AKR28" s="353"/>
      <c r="AKS28" s="353"/>
      <c r="AKT28" s="353"/>
      <c r="AKU28" s="353"/>
      <c r="AKV28" s="353"/>
      <c r="AKW28" s="353"/>
      <c r="AKX28" s="353"/>
      <c r="AKY28" s="353"/>
      <c r="AKZ28" s="353"/>
      <c r="ALA28" s="353"/>
      <c r="ALB28" s="353"/>
      <c r="ALC28" s="353"/>
      <c r="ALD28" s="353"/>
      <c r="ALE28" s="353"/>
      <c r="ALF28" s="353"/>
      <c r="ALG28" s="353"/>
      <c r="ALH28" s="353"/>
      <c r="ALI28" s="353"/>
      <c r="ALJ28" s="353"/>
      <c r="ALK28" s="353"/>
      <c r="ALL28" s="353"/>
      <c r="ALM28" s="353"/>
      <c r="ALN28" s="353"/>
      <c r="ALO28" s="353"/>
      <c r="ALP28" s="353"/>
      <c r="ALQ28" s="353"/>
      <c r="ALR28" s="353"/>
      <c r="ALS28" s="353"/>
      <c r="ALT28" s="353"/>
      <c r="ALU28" s="353"/>
      <c r="ALV28" s="353"/>
      <c r="ALW28" s="353"/>
      <c r="ALX28" s="353"/>
      <c r="ALY28" s="353"/>
      <c r="ALZ28" s="353"/>
      <c r="AMA28" s="353"/>
      <c r="AMB28" s="353"/>
      <c r="AMC28" s="353"/>
      <c r="AMD28" s="353"/>
      <c r="AME28" s="353"/>
      <c r="AMF28" s="353"/>
      <c r="AMG28" s="353"/>
      <c r="AMH28" s="353"/>
      <c r="AMI28" s="353"/>
      <c r="AMJ28" s="353"/>
      <c r="AMK28" s="353"/>
      <c r="AML28" s="353"/>
      <c r="AMM28" s="353"/>
      <c r="AMN28" s="353"/>
      <c r="AMO28" s="353"/>
      <c r="AMP28" s="353"/>
    </row>
    <row r="29" spans="2:1030" s="354" customFormat="1" ht="12.75" x14ac:dyDescent="0.2">
      <c r="B29" s="404" t="str">
        <f t="shared" si="13"/>
        <v/>
      </c>
      <c r="C29" s="405" t="s">
        <v>63</v>
      </c>
      <c r="D29" s="406" t="s">
        <v>63</v>
      </c>
      <c r="E29" s="406" t="s">
        <v>63</v>
      </c>
      <c r="F29" s="407" t="s">
        <v>63</v>
      </c>
      <c r="G29" s="407" t="s">
        <v>63</v>
      </c>
      <c r="H29" s="408" t="s">
        <v>63</v>
      </c>
      <c r="I29" s="408" t="s">
        <v>63</v>
      </c>
      <c r="J29" s="408" t="s">
        <v>63</v>
      </c>
      <c r="K29" s="408" t="s">
        <v>63</v>
      </c>
      <c r="L29" s="408" t="s">
        <v>63</v>
      </c>
      <c r="M29" s="408" t="s">
        <v>63</v>
      </c>
      <c r="N29" s="409" t="s">
        <v>63</v>
      </c>
      <c r="O29" s="409" t="s">
        <v>63</v>
      </c>
      <c r="P29" s="409" t="s">
        <v>63</v>
      </c>
      <c r="Q29" s="409" t="str">
        <f t="shared" si="4"/>
        <v/>
      </c>
      <c r="R29" s="409" t="str">
        <f t="shared" si="5"/>
        <v/>
      </c>
      <c r="S29" s="410" t="str">
        <f t="shared" si="6"/>
        <v/>
      </c>
      <c r="T29" s="409" t="str">
        <f t="shared" si="7"/>
        <v/>
      </c>
      <c r="U29" s="411" t="str">
        <f t="shared" si="14"/>
        <v/>
      </c>
      <c r="V29" s="411" t="str">
        <f t="shared" si="9"/>
        <v/>
      </c>
      <c r="W29" s="412" t="s">
        <v>63</v>
      </c>
      <c r="X29" s="412" t="s">
        <v>63</v>
      </c>
      <c r="Y29" s="411" t="str">
        <f t="shared" si="10"/>
        <v/>
      </c>
      <c r="Z29" s="411" t="str">
        <f t="shared" si="10"/>
        <v/>
      </c>
      <c r="AA29" s="411" t="str">
        <f t="shared" si="11"/>
        <v/>
      </c>
      <c r="AB29" s="383"/>
      <c r="AC29" s="413"/>
      <c r="AD29" s="413" t="str">
        <f t="shared" si="12"/>
        <v/>
      </c>
      <c r="AE29" s="414" t="str">
        <f>IF($AD29="","",COUNTIFS($AD$14:AD29,"Yes"))</f>
        <v/>
      </c>
      <c r="AF29" s="413" t="str">
        <f>IF(C29="", "", AND(INDEX('Summary Dynamic'!$D$8:$D$10, MATCH(H29, 'Summary Dynamic'!$C$8:$C$10, 0))="Include", INDEX('Summary Dynamic'!$D$12:$D$14, MATCH(I29, 'Summary Dynamic'!$C$12:$C$14, 0))="Include", INDEX('Summary Dynamic'!$D$16:$D$17, MATCH(J29, 'Summary Dynamic'!$C$16:$C$17, 0))="Include", INDEX('Summary Dynamic'!$D$19:$D$20, MATCH(K29, 'Summary Dynamic'!$C$19:$C$20, 0))="Include", INDEX('Summary Dynamic'!$D$22:$D$23, MATCH(L29, 'Summary Dynamic'!$C$22:$C$23, 0))="Include", INDEX('Summary Dynamic'!$D$25:$D$26, MATCH(M29, 'Summary Dynamic'!$C$25:$C$26, 0))="Include"))</f>
        <v/>
      </c>
      <c r="AG29" s="414" t="str">
        <f>IFERROR(IF(C29="", "", IF(AF29=TRUE, COUNTIFS($AF$14:AF29, TRUE), "n/a")), "n/a")</f>
        <v/>
      </c>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3"/>
      <c r="DE29" s="353"/>
      <c r="DF29" s="353"/>
      <c r="DG29" s="353"/>
      <c r="DH29" s="353"/>
      <c r="DI29" s="353"/>
      <c r="DJ29" s="353"/>
      <c r="DK29" s="353"/>
      <c r="DL29" s="353"/>
      <c r="DM29" s="353"/>
      <c r="DN29" s="353"/>
      <c r="DO29" s="353"/>
      <c r="DP29" s="353"/>
      <c r="DQ29" s="353"/>
      <c r="DR29" s="353"/>
      <c r="DS29" s="353"/>
      <c r="DT29" s="353"/>
      <c r="DU29" s="353"/>
      <c r="DV29" s="353"/>
      <c r="DW29" s="353"/>
      <c r="DX29" s="353"/>
      <c r="DY29" s="353"/>
      <c r="DZ29" s="353"/>
      <c r="EA29" s="353"/>
      <c r="EB29" s="353"/>
      <c r="EC29" s="353"/>
      <c r="ED29" s="353"/>
      <c r="EE29" s="353"/>
      <c r="EF29" s="353"/>
      <c r="EG29" s="353"/>
      <c r="EH29" s="353"/>
      <c r="EI29" s="353"/>
      <c r="EJ29" s="353"/>
      <c r="EK29" s="353"/>
      <c r="EL29" s="353"/>
      <c r="EM29" s="353"/>
      <c r="EN29" s="353"/>
      <c r="EO29" s="353"/>
      <c r="EP29" s="353"/>
      <c r="EQ29" s="353"/>
      <c r="ER29" s="353"/>
      <c r="ES29" s="353"/>
      <c r="ET29" s="353"/>
      <c r="EU29" s="353"/>
      <c r="EV29" s="353"/>
      <c r="EW29" s="353"/>
      <c r="EX29" s="353"/>
      <c r="EY29" s="353"/>
      <c r="EZ29" s="353"/>
      <c r="FA29" s="353"/>
      <c r="FB29" s="353"/>
      <c r="FC29" s="353"/>
      <c r="FD29" s="353"/>
      <c r="FE29" s="353"/>
      <c r="FF29" s="353"/>
      <c r="FG29" s="353"/>
      <c r="FH29" s="353"/>
      <c r="FI29" s="353"/>
      <c r="FJ29" s="353"/>
      <c r="FK29" s="353"/>
      <c r="FL29" s="353"/>
      <c r="FM29" s="353"/>
      <c r="FN29" s="353"/>
      <c r="FO29" s="353"/>
      <c r="FP29" s="353"/>
      <c r="FQ29" s="353"/>
      <c r="FR29" s="353"/>
      <c r="FS29" s="353"/>
      <c r="FT29" s="353"/>
      <c r="FU29" s="353"/>
      <c r="FV29" s="353"/>
      <c r="FW29" s="353"/>
      <c r="FX29" s="353"/>
      <c r="FY29" s="353"/>
      <c r="FZ29" s="353"/>
      <c r="GA29" s="353"/>
      <c r="GB29" s="353"/>
      <c r="GC29" s="353"/>
      <c r="GD29" s="353"/>
      <c r="GE29" s="353"/>
      <c r="GF29" s="353"/>
      <c r="GG29" s="353"/>
      <c r="GH29" s="353"/>
      <c r="GI29" s="353"/>
      <c r="GJ29" s="353"/>
      <c r="GK29" s="353"/>
      <c r="GL29" s="353"/>
      <c r="GM29" s="353"/>
      <c r="GN29" s="353"/>
      <c r="GO29" s="353"/>
      <c r="GP29" s="353"/>
      <c r="GQ29" s="353"/>
      <c r="GR29" s="353"/>
      <c r="GS29" s="353"/>
      <c r="GT29" s="353"/>
      <c r="GU29" s="353"/>
      <c r="GV29" s="353"/>
      <c r="GW29" s="353"/>
      <c r="GX29" s="353"/>
      <c r="GY29" s="353"/>
      <c r="GZ29" s="353"/>
      <c r="HA29" s="353"/>
      <c r="HB29" s="353"/>
      <c r="HC29" s="353"/>
      <c r="HD29" s="353"/>
      <c r="HE29" s="353"/>
      <c r="HF29" s="353"/>
      <c r="HG29" s="353"/>
      <c r="HH29" s="353"/>
      <c r="HI29" s="353"/>
      <c r="HJ29" s="353"/>
      <c r="HK29" s="353"/>
      <c r="HL29" s="353"/>
      <c r="HM29" s="353"/>
      <c r="HN29" s="353"/>
      <c r="HO29" s="353"/>
      <c r="HP29" s="353"/>
      <c r="HQ29" s="353"/>
      <c r="HR29" s="353"/>
      <c r="HS29" s="353"/>
      <c r="HT29" s="353"/>
      <c r="HU29" s="353"/>
      <c r="HV29" s="353"/>
      <c r="HW29" s="353"/>
      <c r="HX29" s="353"/>
      <c r="HY29" s="353"/>
      <c r="HZ29" s="353"/>
      <c r="IA29" s="353"/>
      <c r="IB29" s="353"/>
      <c r="IC29" s="353"/>
      <c r="ID29" s="353"/>
      <c r="IE29" s="353"/>
      <c r="IF29" s="353"/>
      <c r="IG29" s="353"/>
      <c r="IH29" s="353"/>
      <c r="II29" s="353"/>
      <c r="IJ29" s="353"/>
      <c r="IK29" s="353"/>
      <c r="IL29" s="353"/>
      <c r="IM29" s="353"/>
      <c r="IN29" s="353"/>
      <c r="IO29" s="353"/>
      <c r="IP29" s="353"/>
      <c r="IQ29" s="353"/>
      <c r="IR29" s="353"/>
      <c r="IS29" s="353"/>
      <c r="IT29" s="353"/>
      <c r="IU29" s="353"/>
      <c r="IV29" s="353"/>
      <c r="IW29" s="353"/>
      <c r="IX29" s="353"/>
      <c r="IY29" s="353"/>
      <c r="IZ29" s="353"/>
      <c r="JA29" s="353"/>
      <c r="JB29" s="353"/>
      <c r="JC29" s="353"/>
      <c r="JD29" s="353"/>
      <c r="JE29" s="353"/>
      <c r="JF29" s="353"/>
      <c r="JG29" s="353"/>
      <c r="JH29" s="353"/>
      <c r="JI29" s="353"/>
      <c r="JJ29" s="353"/>
      <c r="JK29" s="353"/>
      <c r="JL29" s="353"/>
      <c r="JM29" s="353"/>
      <c r="JN29" s="353"/>
      <c r="JO29" s="353"/>
      <c r="JP29" s="353"/>
      <c r="JQ29" s="353"/>
      <c r="JR29" s="353"/>
      <c r="JS29" s="353"/>
      <c r="JT29" s="353"/>
      <c r="JU29" s="353"/>
      <c r="JV29" s="353"/>
      <c r="JW29" s="353"/>
      <c r="JX29" s="353"/>
      <c r="JY29" s="353"/>
      <c r="JZ29" s="353"/>
      <c r="KA29" s="353"/>
      <c r="KB29" s="353"/>
      <c r="KC29" s="353"/>
      <c r="KD29" s="353"/>
      <c r="KE29" s="353"/>
      <c r="KF29" s="353"/>
      <c r="KG29" s="353"/>
      <c r="KH29" s="353"/>
      <c r="KI29" s="353"/>
      <c r="KJ29" s="353"/>
      <c r="KK29" s="353"/>
      <c r="KL29" s="353"/>
      <c r="KM29" s="353"/>
      <c r="KN29" s="353"/>
      <c r="KO29" s="353"/>
      <c r="KP29" s="353"/>
      <c r="KQ29" s="353"/>
      <c r="KR29" s="353"/>
      <c r="KS29" s="353"/>
      <c r="KT29" s="353"/>
      <c r="KU29" s="353"/>
      <c r="KV29" s="353"/>
      <c r="KW29" s="353"/>
      <c r="KX29" s="353"/>
      <c r="KY29" s="353"/>
      <c r="KZ29" s="353"/>
      <c r="LA29" s="353"/>
      <c r="LB29" s="353"/>
      <c r="LC29" s="353"/>
      <c r="LD29" s="353"/>
      <c r="LE29" s="353"/>
      <c r="LF29" s="353"/>
      <c r="LG29" s="353"/>
      <c r="LH29" s="353"/>
      <c r="LI29" s="353"/>
      <c r="LJ29" s="353"/>
      <c r="LK29" s="353"/>
      <c r="LL29" s="353"/>
      <c r="LM29" s="353"/>
      <c r="LN29" s="353"/>
      <c r="LO29" s="353"/>
      <c r="LP29" s="353"/>
      <c r="LQ29" s="353"/>
      <c r="LR29" s="353"/>
      <c r="LS29" s="353"/>
      <c r="LT29" s="353"/>
      <c r="LU29" s="353"/>
      <c r="LV29" s="353"/>
      <c r="LW29" s="353"/>
      <c r="LX29" s="353"/>
      <c r="LY29" s="353"/>
      <c r="LZ29" s="353"/>
      <c r="MA29" s="353"/>
      <c r="MB29" s="353"/>
      <c r="MC29" s="353"/>
      <c r="MD29" s="353"/>
      <c r="ME29" s="353"/>
      <c r="MF29" s="353"/>
      <c r="MG29" s="353"/>
      <c r="MH29" s="353"/>
      <c r="MI29" s="353"/>
      <c r="MJ29" s="353"/>
      <c r="MK29" s="353"/>
      <c r="ML29" s="353"/>
      <c r="MM29" s="353"/>
      <c r="MN29" s="353"/>
      <c r="MO29" s="353"/>
      <c r="MP29" s="353"/>
      <c r="MQ29" s="353"/>
      <c r="MR29" s="353"/>
      <c r="MS29" s="353"/>
      <c r="MT29" s="353"/>
      <c r="MU29" s="353"/>
      <c r="MV29" s="353"/>
      <c r="MW29" s="353"/>
      <c r="MX29" s="353"/>
      <c r="MY29" s="353"/>
      <c r="MZ29" s="353"/>
      <c r="NA29" s="353"/>
      <c r="NB29" s="353"/>
      <c r="NC29" s="353"/>
      <c r="ND29" s="353"/>
      <c r="NE29" s="353"/>
      <c r="NF29" s="353"/>
      <c r="NG29" s="353"/>
      <c r="NH29" s="353"/>
      <c r="NI29" s="353"/>
      <c r="NJ29" s="353"/>
      <c r="NK29" s="353"/>
      <c r="NL29" s="353"/>
      <c r="NM29" s="353"/>
      <c r="NN29" s="353"/>
      <c r="NO29" s="353"/>
      <c r="NP29" s="353"/>
      <c r="NQ29" s="353"/>
      <c r="NR29" s="353"/>
      <c r="NS29" s="353"/>
      <c r="NT29" s="353"/>
      <c r="NU29" s="353"/>
      <c r="NV29" s="353"/>
      <c r="NW29" s="353"/>
      <c r="NX29" s="353"/>
      <c r="NY29" s="353"/>
      <c r="NZ29" s="353"/>
      <c r="OA29" s="353"/>
      <c r="OB29" s="353"/>
      <c r="OC29" s="353"/>
      <c r="OD29" s="353"/>
      <c r="OE29" s="353"/>
      <c r="OF29" s="353"/>
      <c r="OG29" s="353"/>
      <c r="OH29" s="353"/>
      <c r="OI29" s="353"/>
      <c r="OJ29" s="353"/>
      <c r="OK29" s="353"/>
      <c r="OL29" s="353"/>
      <c r="OM29" s="353"/>
      <c r="ON29" s="353"/>
      <c r="OO29" s="353"/>
      <c r="OP29" s="353"/>
      <c r="OQ29" s="353"/>
      <c r="OR29" s="353"/>
      <c r="OS29" s="353"/>
      <c r="OT29" s="353"/>
      <c r="OU29" s="353"/>
      <c r="OV29" s="353"/>
      <c r="OW29" s="353"/>
      <c r="OX29" s="353"/>
      <c r="OY29" s="353"/>
      <c r="OZ29" s="353"/>
      <c r="PA29" s="353"/>
      <c r="PB29" s="353"/>
      <c r="PC29" s="353"/>
      <c r="PD29" s="353"/>
      <c r="PE29" s="353"/>
      <c r="PF29" s="353"/>
      <c r="PG29" s="353"/>
      <c r="PH29" s="353"/>
      <c r="PI29" s="353"/>
      <c r="PJ29" s="353"/>
      <c r="PK29" s="353"/>
      <c r="PL29" s="353"/>
      <c r="PM29" s="353"/>
      <c r="PN29" s="353"/>
      <c r="PO29" s="353"/>
      <c r="PP29" s="353"/>
      <c r="PQ29" s="353"/>
      <c r="PR29" s="353"/>
      <c r="PS29" s="353"/>
      <c r="PT29" s="353"/>
      <c r="PU29" s="353"/>
      <c r="PV29" s="353"/>
      <c r="PW29" s="353"/>
      <c r="PX29" s="353"/>
      <c r="PY29" s="353"/>
      <c r="PZ29" s="353"/>
      <c r="QA29" s="353"/>
      <c r="QB29" s="353"/>
      <c r="QC29" s="353"/>
      <c r="QD29" s="353"/>
      <c r="QE29" s="353"/>
      <c r="QF29" s="353"/>
      <c r="QG29" s="353"/>
      <c r="QH29" s="353"/>
      <c r="QI29" s="353"/>
      <c r="QJ29" s="353"/>
      <c r="QK29" s="353"/>
      <c r="QL29" s="353"/>
      <c r="QM29" s="353"/>
      <c r="QN29" s="353"/>
      <c r="QO29" s="353"/>
      <c r="QP29" s="353"/>
      <c r="QQ29" s="353"/>
      <c r="QR29" s="353"/>
      <c r="QS29" s="353"/>
      <c r="QT29" s="353"/>
      <c r="QU29" s="353"/>
      <c r="QV29" s="353"/>
      <c r="QW29" s="353"/>
      <c r="QX29" s="353"/>
      <c r="QY29" s="353"/>
      <c r="QZ29" s="353"/>
      <c r="RA29" s="353"/>
      <c r="RB29" s="353"/>
      <c r="RC29" s="353"/>
      <c r="RD29" s="353"/>
      <c r="RE29" s="353"/>
      <c r="RF29" s="353"/>
      <c r="RG29" s="353"/>
      <c r="RH29" s="353"/>
      <c r="RI29" s="353"/>
      <c r="RJ29" s="353"/>
      <c r="RK29" s="353"/>
      <c r="RL29" s="353"/>
      <c r="RM29" s="353"/>
      <c r="RN29" s="353"/>
      <c r="RO29" s="353"/>
      <c r="RP29" s="353"/>
      <c r="RQ29" s="353"/>
      <c r="RR29" s="353"/>
      <c r="RS29" s="353"/>
      <c r="RT29" s="353"/>
      <c r="RU29" s="353"/>
      <c r="RV29" s="353"/>
      <c r="RW29" s="353"/>
      <c r="RX29" s="353"/>
      <c r="RY29" s="353"/>
      <c r="RZ29" s="353"/>
      <c r="SA29" s="353"/>
      <c r="SB29" s="353"/>
      <c r="SC29" s="353"/>
      <c r="SD29" s="353"/>
      <c r="SE29" s="353"/>
      <c r="SF29" s="353"/>
      <c r="SG29" s="353"/>
      <c r="SH29" s="353"/>
      <c r="SI29" s="353"/>
      <c r="SJ29" s="353"/>
      <c r="SK29" s="353"/>
      <c r="SL29" s="353"/>
      <c r="SM29" s="353"/>
      <c r="SN29" s="353"/>
      <c r="SO29" s="353"/>
      <c r="SP29" s="353"/>
      <c r="SQ29" s="353"/>
      <c r="SR29" s="353"/>
      <c r="SS29" s="353"/>
      <c r="ST29" s="353"/>
      <c r="SU29" s="353"/>
      <c r="SV29" s="353"/>
      <c r="SW29" s="353"/>
      <c r="SX29" s="353"/>
      <c r="SY29" s="353"/>
      <c r="SZ29" s="353"/>
      <c r="TA29" s="353"/>
      <c r="TB29" s="353"/>
      <c r="TC29" s="353"/>
      <c r="TD29" s="353"/>
      <c r="TE29" s="353"/>
      <c r="TF29" s="353"/>
      <c r="TG29" s="353"/>
      <c r="TH29" s="353"/>
      <c r="TI29" s="353"/>
      <c r="TJ29" s="353"/>
      <c r="TK29" s="353"/>
      <c r="TL29" s="353"/>
      <c r="TM29" s="353"/>
      <c r="TN29" s="353"/>
      <c r="TO29" s="353"/>
      <c r="TP29" s="353"/>
      <c r="TQ29" s="353"/>
      <c r="TR29" s="353"/>
      <c r="TS29" s="353"/>
      <c r="TT29" s="353"/>
      <c r="TU29" s="353"/>
      <c r="TV29" s="353"/>
      <c r="TW29" s="353"/>
      <c r="TX29" s="353"/>
      <c r="TY29" s="353"/>
      <c r="TZ29" s="353"/>
      <c r="UA29" s="353"/>
      <c r="UB29" s="353"/>
      <c r="UC29" s="353"/>
      <c r="UD29" s="353"/>
      <c r="UE29" s="353"/>
      <c r="UF29" s="353"/>
      <c r="UG29" s="353"/>
      <c r="UH29" s="353"/>
      <c r="UI29" s="353"/>
      <c r="UJ29" s="353"/>
      <c r="UK29" s="353"/>
      <c r="UL29" s="353"/>
      <c r="UM29" s="353"/>
      <c r="UN29" s="353"/>
      <c r="UO29" s="353"/>
      <c r="UP29" s="353"/>
      <c r="UQ29" s="353"/>
      <c r="UR29" s="353"/>
      <c r="US29" s="353"/>
      <c r="UT29" s="353"/>
      <c r="UU29" s="353"/>
      <c r="UV29" s="353"/>
      <c r="UW29" s="353"/>
      <c r="UX29" s="353"/>
      <c r="UY29" s="353"/>
      <c r="UZ29" s="353"/>
      <c r="VA29" s="353"/>
      <c r="VB29" s="353"/>
      <c r="VC29" s="353"/>
      <c r="VD29" s="353"/>
      <c r="VE29" s="353"/>
      <c r="VF29" s="353"/>
      <c r="VG29" s="353"/>
      <c r="VH29" s="353"/>
      <c r="VI29" s="353"/>
      <c r="VJ29" s="353"/>
      <c r="VK29" s="353"/>
      <c r="VL29" s="353"/>
      <c r="VM29" s="353"/>
      <c r="VN29" s="353"/>
      <c r="VO29" s="353"/>
      <c r="VP29" s="353"/>
      <c r="VQ29" s="353"/>
      <c r="VR29" s="353"/>
      <c r="VS29" s="353"/>
      <c r="VT29" s="353"/>
      <c r="VU29" s="353"/>
      <c r="VV29" s="353"/>
      <c r="VW29" s="353"/>
      <c r="VX29" s="353"/>
      <c r="VY29" s="353"/>
      <c r="VZ29" s="353"/>
      <c r="WA29" s="353"/>
      <c r="WB29" s="353"/>
      <c r="WC29" s="353"/>
      <c r="WD29" s="353"/>
      <c r="WE29" s="353"/>
      <c r="WF29" s="353"/>
      <c r="WG29" s="353"/>
      <c r="WH29" s="353"/>
      <c r="WI29" s="353"/>
      <c r="WJ29" s="353"/>
      <c r="WK29" s="353"/>
      <c r="WL29" s="353"/>
      <c r="WM29" s="353"/>
      <c r="WN29" s="353"/>
      <c r="WO29" s="353"/>
      <c r="WP29" s="353"/>
      <c r="WQ29" s="353"/>
      <c r="WR29" s="353"/>
      <c r="WS29" s="353"/>
      <c r="WT29" s="353"/>
      <c r="WU29" s="353"/>
      <c r="WV29" s="353"/>
      <c r="WW29" s="353"/>
      <c r="WX29" s="353"/>
      <c r="WY29" s="353"/>
      <c r="WZ29" s="353"/>
      <c r="XA29" s="353"/>
      <c r="XB29" s="353"/>
      <c r="XC29" s="353"/>
      <c r="XD29" s="353"/>
      <c r="XE29" s="353"/>
      <c r="XF29" s="353"/>
      <c r="XG29" s="353"/>
      <c r="XH29" s="353"/>
      <c r="XI29" s="353"/>
      <c r="XJ29" s="353"/>
      <c r="XK29" s="353"/>
      <c r="XL29" s="353"/>
      <c r="XM29" s="353"/>
      <c r="XN29" s="353"/>
      <c r="XO29" s="353"/>
      <c r="XP29" s="353"/>
      <c r="XQ29" s="353"/>
      <c r="XR29" s="353"/>
      <c r="XS29" s="353"/>
      <c r="XT29" s="353"/>
      <c r="XU29" s="353"/>
      <c r="XV29" s="353"/>
      <c r="XW29" s="353"/>
      <c r="XX29" s="353"/>
      <c r="XY29" s="353"/>
      <c r="XZ29" s="353"/>
      <c r="YA29" s="353"/>
      <c r="YB29" s="353"/>
      <c r="YC29" s="353"/>
      <c r="YD29" s="353"/>
      <c r="YE29" s="353"/>
      <c r="YF29" s="353"/>
      <c r="YG29" s="353"/>
      <c r="YH29" s="353"/>
      <c r="YI29" s="353"/>
      <c r="YJ29" s="353"/>
      <c r="YK29" s="353"/>
      <c r="YL29" s="353"/>
      <c r="YM29" s="353"/>
      <c r="YN29" s="353"/>
      <c r="YO29" s="353"/>
      <c r="YP29" s="353"/>
      <c r="YQ29" s="353"/>
      <c r="YR29" s="353"/>
      <c r="YS29" s="353"/>
      <c r="YT29" s="353"/>
      <c r="YU29" s="353"/>
      <c r="YV29" s="353"/>
      <c r="YW29" s="353"/>
      <c r="YX29" s="353"/>
      <c r="YY29" s="353"/>
      <c r="YZ29" s="353"/>
      <c r="ZA29" s="353"/>
      <c r="ZB29" s="353"/>
      <c r="ZC29" s="353"/>
      <c r="ZD29" s="353"/>
      <c r="ZE29" s="353"/>
      <c r="ZF29" s="353"/>
      <c r="ZG29" s="353"/>
      <c r="ZH29" s="353"/>
      <c r="ZI29" s="353"/>
      <c r="ZJ29" s="353"/>
      <c r="ZK29" s="353"/>
      <c r="ZL29" s="353"/>
      <c r="ZM29" s="353"/>
      <c r="ZN29" s="353"/>
      <c r="ZO29" s="353"/>
      <c r="ZP29" s="353"/>
      <c r="ZQ29" s="353"/>
      <c r="ZR29" s="353"/>
      <c r="ZS29" s="353"/>
      <c r="ZT29" s="353"/>
      <c r="ZU29" s="353"/>
      <c r="ZV29" s="353"/>
      <c r="ZW29" s="353"/>
      <c r="ZX29" s="353"/>
      <c r="ZY29" s="353"/>
      <c r="ZZ29" s="353"/>
      <c r="AAA29" s="353"/>
      <c r="AAB29" s="353"/>
      <c r="AAC29" s="353"/>
      <c r="AAD29" s="353"/>
      <c r="AAE29" s="353"/>
      <c r="AAF29" s="353"/>
      <c r="AAG29" s="353"/>
      <c r="AAH29" s="353"/>
      <c r="AAI29" s="353"/>
      <c r="AAJ29" s="353"/>
      <c r="AAK29" s="353"/>
      <c r="AAL29" s="353"/>
      <c r="AAM29" s="353"/>
      <c r="AAN29" s="353"/>
      <c r="AAO29" s="353"/>
      <c r="AAP29" s="353"/>
      <c r="AAQ29" s="353"/>
      <c r="AAR29" s="353"/>
      <c r="AAS29" s="353"/>
      <c r="AAT29" s="353"/>
      <c r="AAU29" s="353"/>
      <c r="AAV29" s="353"/>
      <c r="AAW29" s="353"/>
      <c r="AAX29" s="353"/>
      <c r="AAY29" s="353"/>
      <c r="AAZ29" s="353"/>
      <c r="ABA29" s="353"/>
      <c r="ABB29" s="353"/>
      <c r="ABC29" s="353"/>
      <c r="ABD29" s="353"/>
      <c r="ABE29" s="353"/>
      <c r="ABF29" s="353"/>
      <c r="ABG29" s="353"/>
      <c r="ABH29" s="353"/>
      <c r="ABI29" s="353"/>
      <c r="ABJ29" s="353"/>
      <c r="ABK29" s="353"/>
      <c r="ABL29" s="353"/>
      <c r="ABM29" s="353"/>
      <c r="ABN29" s="353"/>
      <c r="ABO29" s="353"/>
      <c r="ABP29" s="353"/>
      <c r="ABQ29" s="353"/>
      <c r="ABR29" s="353"/>
      <c r="ABS29" s="353"/>
      <c r="ABT29" s="353"/>
      <c r="ABU29" s="353"/>
      <c r="ABV29" s="353"/>
      <c r="ABW29" s="353"/>
      <c r="ABX29" s="353"/>
      <c r="ABY29" s="353"/>
      <c r="ABZ29" s="353"/>
      <c r="ACA29" s="353"/>
      <c r="ACB29" s="353"/>
      <c r="ACC29" s="353"/>
      <c r="ACD29" s="353"/>
      <c r="ACE29" s="353"/>
      <c r="ACF29" s="353"/>
      <c r="ACG29" s="353"/>
      <c r="ACH29" s="353"/>
      <c r="ACI29" s="353"/>
      <c r="ACJ29" s="353"/>
      <c r="ACK29" s="353"/>
      <c r="ACL29" s="353"/>
      <c r="ACM29" s="353"/>
      <c r="ACN29" s="353"/>
      <c r="ACO29" s="353"/>
      <c r="ACP29" s="353"/>
      <c r="ACQ29" s="353"/>
      <c r="ACR29" s="353"/>
      <c r="ACS29" s="353"/>
      <c r="ACT29" s="353"/>
      <c r="ACU29" s="353"/>
      <c r="ACV29" s="353"/>
      <c r="ACW29" s="353"/>
      <c r="ACX29" s="353"/>
      <c r="ACY29" s="353"/>
      <c r="ACZ29" s="353"/>
      <c r="ADA29" s="353"/>
      <c r="ADB29" s="353"/>
      <c r="ADC29" s="353"/>
      <c r="ADD29" s="353"/>
      <c r="ADE29" s="353"/>
      <c r="ADF29" s="353"/>
      <c r="ADG29" s="353"/>
      <c r="ADH29" s="353"/>
      <c r="ADI29" s="353"/>
      <c r="ADJ29" s="353"/>
      <c r="ADK29" s="353"/>
      <c r="ADL29" s="353"/>
      <c r="ADM29" s="353"/>
      <c r="ADN29" s="353"/>
      <c r="ADO29" s="353"/>
      <c r="ADP29" s="353"/>
      <c r="ADQ29" s="353"/>
      <c r="ADR29" s="353"/>
      <c r="ADS29" s="353"/>
      <c r="ADT29" s="353"/>
      <c r="ADU29" s="353"/>
      <c r="ADV29" s="353"/>
      <c r="ADW29" s="353"/>
      <c r="ADX29" s="353"/>
      <c r="ADY29" s="353"/>
      <c r="ADZ29" s="353"/>
      <c r="AEA29" s="353"/>
      <c r="AEB29" s="353"/>
      <c r="AEC29" s="353"/>
      <c r="AED29" s="353"/>
      <c r="AEE29" s="353"/>
      <c r="AEF29" s="353"/>
      <c r="AEG29" s="353"/>
      <c r="AEH29" s="353"/>
      <c r="AEI29" s="353"/>
      <c r="AEJ29" s="353"/>
      <c r="AEK29" s="353"/>
      <c r="AEL29" s="353"/>
      <c r="AEM29" s="353"/>
      <c r="AEN29" s="353"/>
      <c r="AEO29" s="353"/>
      <c r="AEP29" s="353"/>
      <c r="AEQ29" s="353"/>
      <c r="AER29" s="353"/>
      <c r="AES29" s="353"/>
      <c r="AET29" s="353"/>
      <c r="AEU29" s="353"/>
      <c r="AEV29" s="353"/>
      <c r="AEW29" s="353"/>
      <c r="AEX29" s="353"/>
      <c r="AEY29" s="353"/>
      <c r="AEZ29" s="353"/>
      <c r="AFA29" s="353"/>
      <c r="AFB29" s="353"/>
      <c r="AFC29" s="353"/>
      <c r="AFD29" s="353"/>
      <c r="AFE29" s="353"/>
      <c r="AFF29" s="353"/>
      <c r="AFG29" s="353"/>
      <c r="AFH29" s="353"/>
      <c r="AFI29" s="353"/>
      <c r="AFJ29" s="353"/>
      <c r="AFK29" s="353"/>
      <c r="AFL29" s="353"/>
      <c r="AFM29" s="353"/>
      <c r="AFN29" s="353"/>
      <c r="AFO29" s="353"/>
      <c r="AFP29" s="353"/>
      <c r="AFQ29" s="353"/>
      <c r="AFR29" s="353"/>
      <c r="AFS29" s="353"/>
      <c r="AFT29" s="353"/>
      <c r="AFU29" s="353"/>
      <c r="AFV29" s="353"/>
      <c r="AFW29" s="353"/>
      <c r="AFX29" s="353"/>
      <c r="AFY29" s="353"/>
      <c r="AFZ29" s="353"/>
      <c r="AGA29" s="353"/>
      <c r="AGB29" s="353"/>
      <c r="AGC29" s="353"/>
      <c r="AGD29" s="353"/>
      <c r="AGE29" s="353"/>
      <c r="AGF29" s="353"/>
      <c r="AGG29" s="353"/>
      <c r="AGH29" s="353"/>
      <c r="AGI29" s="353"/>
      <c r="AGJ29" s="353"/>
      <c r="AGK29" s="353"/>
      <c r="AGL29" s="353"/>
      <c r="AGM29" s="353"/>
      <c r="AGN29" s="353"/>
      <c r="AGO29" s="353"/>
      <c r="AGP29" s="353"/>
      <c r="AGQ29" s="353"/>
      <c r="AGR29" s="353"/>
      <c r="AGS29" s="353"/>
      <c r="AGT29" s="353"/>
      <c r="AGU29" s="353"/>
      <c r="AGV29" s="353"/>
      <c r="AGW29" s="353"/>
      <c r="AGX29" s="353"/>
      <c r="AGY29" s="353"/>
      <c r="AGZ29" s="353"/>
      <c r="AHA29" s="353"/>
      <c r="AHB29" s="353"/>
      <c r="AHC29" s="353"/>
      <c r="AHD29" s="353"/>
      <c r="AHE29" s="353"/>
      <c r="AHF29" s="353"/>
      <c r="AHG29" s="353"/>
      <c r="AHH29" s="353"/>
      <c r="AHI29" s="353"/>
      <c r="AHJ29" s="353"/>
      <c r="AHK29" s="353"/>
      <c r="AHL29" s="353"/>
      <c r="AHM29" s="353"/>
      <c r="AHN29" s="353"/>
      <c r="AHO29" s="353"/>
      <c r="AHP29" s="353"/>
      <c r="AHQ29" s="353"/>
      <c r="AHR29" s="353"/>
      <c r="AHS29" s="353"/>
      <c r="AHT29" s="353"/>
      <c r="AHU29" s="353"/>
      <c r="AHV29" s="353"/>
      <c r="AHW29" s="353"/>
      <c r="AHX29" s="353"/>
      <c r="AHY29" s="353"/>
      <c r="AHZ29" s="353"/>
      <c r="AIA29" s="353"/>
      <c r="AIB29" s="353"/>
      <c r="AIC29" s="353"/>
      <c r="AID29" s="353"/>
      <c r="AIE29" s="353"/>
      <c r="AIF29" s="353"/>
      <c r="AIG29" s="353"/>
      <c r="AIH29" s="353"/>
      <c r="AII29" s="353"/>
      <c r="AIJ29" s="353"/>
      <c r="AIK29" s="353"/>
      <c r="AIL29" s="353"/>
      <c r="AIM29" s="353"/>
      <c r="AIN29" s="353"/>
      <c r="AIO29" s="353"/>
      <c r="AIP29" s="353"/>
      <c r="AIQ29" s="353"/>
      <c r="AIR29" s="353"/>
      <c r="AIS29" s="353"/>
      <c r="AIT29" s="353"/>
      <c r="AIU29" s="353"/>
      <c r="AIV29" s="353"/>
      <c r="AIW29" s="353"/>
      <c r="AIX29" s="353"/>
      <c r="AIY29" s="353"/>
      <c r="AIZ29" s="353"/>
      <c r="AJA29" s="353"/>
      <c r="AJB29" s="353"/>
      <c r="AJC29" s="353"/>
      <c r="AJD29" s="353"/>
      <c r="AJE29" s="353"/>
      <c r="AJF29" s="353"/>
      <c r="AJG29" s="353"/>
      <c r="AJH29" s="353"/>
      <c r="AJI29" s="353"/>
      <c r="AJJ29" s="353"/>
      <c r="AJK29" s="353"/>
      <c r="AJL29" s="353"/>
      <c r="AJM29" s="353"/>
      <c r="AJN29" s="353"/>
      <c r="AJO29" s="353"/>
      <c r="AJP29" s="353"/>
      <c r="AJQ29" s="353"/>
      <c r="AJR29" s="353"/>
      <c r="AJS29" s="353"/>
      <c r="AJT29" s="353"/>
      <c r="AJU29" s="353"/>
      <c r="AJV29" s="353"/>
      <c r="AJW29" s="353"/>
      <c r="AJX29" s="353"/>
      <c r="AJY29" s="353"/>
      <c r="AJZ29" s="353"/>
      <c r="AKA29" s="353"/>
      <c r="AKB29" s="353"/>
      <c r="AKC29" s="353"/>
      <c r="AKD29" s="353"/>
      <c r="AKE29" s="353"/>
      <c r="AKF29" s="353"/>
      <c r="AKG29" s="353"/>
      <c r="AKH29" s="353"/>
      <c r="AKI29" s="353"/>
      <c r="AKJ29" s="353"/>
      <c r="AKK29" s="353"/>
      <c r="AKL29" s="353"/>
      <c r="AKM29" s="353"/>
      <c r="AKN29" s="353"/>
      <c r="AKO29" s="353"/>
      <c r="AKP29" s="353"/>
      <c r="AKQ29" s="353"/>
      <c r="AKR29" s="353"/>
      <c r="AKS29" s="353"/>
      <c r="AKT29" s="353"/>
      <c r="AKU29" s="353"/>
      <c r="AKV29" s="353"/>
      <c r="AKW29" s="353"/>
      <c r="AKX29" s="353"/>
      <c r="AKY29" s="353"/>
      <c r="AKZ29" s="353"/>
      <c r="ALA29" s="353"/>
      <c r="ALB29" s="353"/>
      <c r="ALC29" s="353"/>
      <c r="ALD29" s="353"/>
      <c r="ALE29" s="353"/>
      <c r="ALF29" s="353"/>
      <c r="ALG29" s="353"/>
      <c r="ALH29" s="353"/>
      <c r="ALI29" s="353"/>
      <c r="ALJ29" s="353"/>
      <c r="ALK29" s="353"/>
      <c r="ALL29" s="353"/>
      <c r="ALM29" s="353"/>
      <c r="ALN29" s="353"/>
      <c r="ALO29" s="353"/>
      <c r="ALP29" s="353"/>
      <c r="ALQ29" s="353"/>
      <c r="ALR29" s="353"/>
      <c r="ALS29" s="353"/>
      <c r="ALT29" s="353"/>
      <c r="ALU29" s="353"/>
      <c r="ALV29" s="353"/>
      <c r="ALW29" s="353"/>
      <c r="ALX29" s="353"/>
      <c r="ALY29" s="353"/>
      <c r="ALZ29" s="353"/>
      <c r="AMA29" s="353"/>
      <c r="AMB29" s="353"/>
      <c r="AMC29" s="353"/>
      <c r="AMD29" s="353"/>
      <c r="AME29" s="353"/>
      <c r="AMF29" s="353"/>
      <c r="AMG29" s="353"/>
      <c r="AMH29" s="353"/>
      <c r="AMI29" s="353"/>
      <c r="AMJ29" s="353"/>
      <c r="AMK29" s="353"/>
      <c r="AML29" s="353"/>
      <c r="AMM29" s="353"/>
      <c r="AMN29" s="353"/>
      <c r="AMO29" s="353"/>
      <c r="AMP29" s="353"/>
    </row>
    <row r="30" spans="2:1030" s="354" customFormat="1" ht="12.75" x14ac:dyDescent="0.2">
      <c r="B30" s="404" t="str">
        <f t="shared" si="13"/>
        <v/>
      </c>
      <c r="C30" s="405" t="s">
        <v>63</v>
      </c>
      <c r="D30" s="406" t="s">
        <v>63</v>
      </c>
      <c r="E30" s="406" t="s">
        <v>63</v>
      </c>
      <c r="F30" s="407" t="s">
        <v>63</v>
      </c>
      <c r="G30" s="407" t="s">
        <v>63</v>
      </c>
      <c r="H30" s="408" t="s">
        <v>63</v>
      </c>
      <c r="I30" s="408" t="s">
        <v>63</v>
      </c>
      <c r="J30" s="408" t="s">
        <v>63</v>
      </c>
      <c r="K30" s="408" t="s">
        <v>63</v>
      </c>
      <c r="L30" s="408" t="s">
        <v>63</v>
      </c>
      <c r="M30" s="408" t="s">
        <v>63</v>
      </c>
      <c r="N30" s="409" t="s">
        <v>63</v>
      </c>
      <c r="O30" s="409" t="s">
        <v>63</v>
      </c>
      <c r="P30" s="409" t="s">
        <v>63</v>
      </c>
      <c r="Q30" s="409" t="str">
        <f t="shared" si="4"/>
        <v/>
      </c>
      <c r="R30" s="409" t="str">
        <f t="shared" si="5"/>
        <v/>
      </c>
      <c r="S30" s="410" t="str">
        <f t="shared" si="6"/>
        <v/>
      </c>
      <c r="T30" s="409" t="str">
        <f t="shared" si="7"/>
        <v/>
      </c>
      <c r="U30" s="411" t="str">
        <f t="shared" si="14"/>
        <v/>
      </c>
      <c r="V30" s="411" t="str">
        <f t="shared" si="9"/>
        <v/>
      </c>
      <c r="W30" s="412" t="s">
        <v>63</v>
      </c>
      <c r="X30" s="412" t="s">
        <v>63</v>
      </c>
      <c r="Y30" s="411" t="str">
        <f t="shared" si="10"/>
        <v/>
      </c>
      <c r="Z30" s="411" t="str">
        <f t="shared" si="10"/>
        <v/>
      </c>
      <c r="AA30" s="411" t="str">
        <f t="shared" si="11"/>
        <v/>
      </c>
      <c r="AB30" s="383"/>
      <c r="AC30" s="413"/>
      <c r="AD30" s="413" t="str">
        <f t="shared" si="12"/>
        <v/>
      </c>
      <c r="AE30" s="414" t="str">
        <f>IF($AD30="","",COUNTIFS($AD$14:AD30,"Yes"))</f>
        <v/>
      </c>
      <c r="AF30" s="413" t="str">
        <f>IF(C30="", "", AND(INDEX('Summary Dynamic'!$D$8:$D$10, MATCH(H30, 'Summary Dynamic'!$C$8:$C$10, 0))="Include", INDEX('Summary Dynamic'!$D$12:$D$14, MATCH(I30, 'Summary Dynamic'!$C$12:$C$14, 0))="Include", INDEX('Summary Dynamic'!$D$16:$D$17, MATCH(J30, 'Summary Dynamic'!$C$16:$C$17, 0))="Include", INDEX('Summary Dynamic'!$D$19:$D$20, MATCH(K30, 'Summary Dynamic'!$C$19:$C$20, 0))="Include", INDEX('Summary Dynamic'!$D$22:$D$23, MATCH(L30, 'Summary Dynamic'!$C$22:$C$23, 0))="Include", INDEX('Summary Dynamic'!$D$25:$D$26, MATCH(M30, 'Summary Dynamic'!$C$25:$C$26, 0))="Include"))</f>
        <v/>
      </c>
      <c r="AG30" s="414" t="str">
        <f>IFERROR(IF(C30="", "", IF(AF30=TRUE, COUNTIFS($AF$14:AF30, TRUE), "n/a")), "n/a")</f>
        <v/>
      </c>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353"/>
      <c r="DO30" s="353"/>
      <c r="DP30" s="353"/>
      <c r="DQ30" s="353"/>
      <c r="DR30" s="353"/>
      <c r="DS30" s="353"/>
      <c r="DT30" s="353"/>
      <c r="DU30" s="353"/>
      <c r="DV30" s="353"/>
      <c r="DW30" s="353"/>
      <c r="DX30" s="353"/>
      <c r="DY30" s="353"/>
      <c r="DZ30" s="353"/>
      <c r="EA30" s="353"/>
      <c r="EB30" s="353"/>
      <c r="EC30" s="353"/>
      <c r="ED30" s="353"/>
      <c r="EE30" s="353"/>
      <c r="EF30" s="353"/>
      <c r="EG30" s="353"/>
      <c r="EH30" s="353"/>
      <c r="EI30" s="353"/>
      <c r="EJ30" s="353"/>
      <c r="EK30" s="353"/>
      <c r="EL30" s="353"/>
      <c r="EM30" s="353"/>
      <c r="EN30" s="353"/>
      <c r="EO30" s="353"/>
      <c r="EP30" s="353"/>
      <c r="EQ30" s="353"/>
      <c r="ER30" s="353"/>
      <c r="ES30" s="353"/>
      <c r="ET30" s="353"/>
      <c r="EU30" s="353"/>
      <c r="EV30" s="353"/>
      <c r="EW30" s="353"/>
      <c r="EX30" s="353"/>
      <c r="EY30" s="353"/>
      <c r="EZ30" s="353"/>
      <c r="FA30" s="353"/>
      <c r="FB30" s="353"/>
      <c r="FC30" s="353"/>
      <c r="FD30" s="353"/>
      <c r="FE30" s="353"/>
      <c r="FF30" s="353"/>
      <c r="FG30" s="353"/>
      <c r="FH30" s="353"/>
      <c r="FI30" s="353"/>
      <c r="FJ30" s="353"/>
      <c r="FK30" s="353"/>
      <c r="FL30" s="353"/>
      <c r="FM30" s="353"/>
      <c r="FN30" s="353"/>
      <c r="FO30" s="353"/>
      <c r="FP30" s="353"/>
      <c r="FQ30" s="353"/>
      <c r="FR30" s="353"/>
      <c r="FS30" s="353"/>
      <c r="FT30" s="353"/>
      <c r="FU30" s="353"/>
      <c r="FV30" s="353"/>
      <c r="FW30" s="353"/>
      <c r="FX30" s="353"/>
      <c r="FY30" s="353"/>
      <c r="FZ30" s="353"/>
      <c r="GA30" s="353"/>
      <c r="GB30" s="353"/>
      <c r="GC30" s="353"/>
      <c r="GD30" s="353"/>
      <c r="GE30" s="353"/>
      <c r="GF30" s="353"/>
      <c r="GG30" s="353"/>
      <c r="GH30" s="353"/>
      <c r="GI30" s="353"/>
      <c r="GJ30" s="353"/>
      <c r="GK30" s="353"/>
      <c r="GL30" s="353"/>
      <c r="GM30" s="353"/>
      <c r="GN30" s="353"/>
      <c r="GO30" s="353"/>
      <c r="GP30" s="353"/>
      <c r="GQ30" s="353"/>
      <c r="GR30" s="353"/>
      <c r="GS30" s="353"/>
      <c r="GT30" s="353"/>
      <c r="GU30" s="353"/>
      <c r="GV30" s="353"/>
      <c r="GW30" s="353"/>
      <c r="GX30" s="353"/>
      <c r="GY30" s="353"/>
      <c r="GZ30" s="353"/>
      <c r="HA30" s="353"/>
      <c r="HB30" s="353"/>
      <c r="HC30" s="353"/>
      <c r="HD30" s="353"/>
      <c r="HE30" s="353"/>
      <c r="HF30" s="353"/>
      <c r="HG30" s="353"/>
      <c r="HH30" s="353"/>
      <c r="HI30" s="353"/>
      <c r="HJ30" s="353"/>
      <c r="HK30" s="353"/>
      <c r="HL30" s="353"/>
      <c r="HM30" s="353"/>
      <c r="HN30" s="353"/>
      <c r="HO30" s="353"/>
      <c r="HP30" s="353"/>
      <c r="HQ30" s="353"/>
      <c r="HR30" s="353"/>
      <c r="HS30" s="353"/>
      <c r="HT30" s="353"/>
      <c r="HU30" s="353"/>
      <c r="HV30" s="353"/>
      <c r="HW30" s="353"/>
      <c r="HX30" s="353"/>
      <c r="HY30" s="353"/>
      <c r="HZ30" s="353"/>
      <c r="IA30" s="353"/>
      <c r="IB30" s="353"/>
      <c r="IC30" s="353"/>
      <c r="ID30" s="353"/>
      <c r="IE30" s="353"/>
      <c r="IF30" s="353"/>
      <c r="IG30" s="353"/>
      <c r="IH30" s="353"/>
      <c r="II30" s="353"/>
      <c r="IJ30" s="353"/>
      <c r="IK30" s="353"/>
      <c r="IL30" s="353"/>
      <c r="IM30" s="353"/>
      <c r="IN30" s="353"/>
      <c r="IO30" s="353"/>
      <c r="IP30" s="353"/>
      <c r="IQ30" s="353"/>
      <c r="IR30" s="353"/>
      <c r="IS30" s="353"/>
      <c r="IT30" s="353"/>
      <c r="IU30" s="353"/>
      <c r="IV30" s="353"/>
      <c r="IW30" s="353"/>
      <c r="IX30" s="353"/>
      <c r="IY30" s="353"/>
      <c r="IZ30" s="353"/>
      <c r="JA30" s="353"/>
      <c r="JB30" s="353"/>
      <c r="JC30" s="353"/>
      <c r="JD30" s="353"/>
      <c r="JE30" s="353"/>
      <c r="JF30" s="353"/>
      <c r="JG30" s="353"/>
      <c r="JH30" s="353"/>
      <c r="JI30" s="353"/>
      <c r="JJ30" s="353"/>
      <c r="JK30" s="353"/>
      <c r="JL30" s="353"/>
      <c r="JM30" s="353"/>
      <c r="JN30" s="353"/>
      <c r="JO30" s="353"/>
      <c r="JP30" s="353"/>
      <c r="JQ30" s="353"/>
      <c r="JR30" s="353"/>
      <c r="JS30" s="353"/>
      <c r="JT30" s="353"/>
      <c r="JU30" s="353"/>
      <c r="JV30" s="353"/>
      <c r="JW30" s="353"/>
      <c r="JX30" s="353"/>
      <c r="JY30" s="353"/>
      <c r="JZ30" s="353"/>
      <c r="KA30" s="353"/>
      <c r="KB30" s="353"/>
      <c r="KC30" s="353"/>
      <c r="KD30" s="353"/>
      <c r="KE30" s="353"/>
      <c r="KF30" s="353"/>
      <c r="KG30" s="353"/>
      <c r="KH30" s="353"/>
      <c r="KI30" s="353"/>
      <c r="KJ30" s="353"/>
      <c r="KK30" s="353"/>
      <c r="KL30" s="353"/>
      <c r="KM30" s="353"/>
      <c r="KN30" s="353"/>
      <c r="KO30" s="353"/>
      <c r="KP30" s="353"/>
      <c r="KQ30" s="353"/>
      <c r="KR30" s="353"/>
      <c r="KS30" s="353"/>
      <c r="KT30" s="353"/>
      <c r="KU30" s="353"/>
      <c r="KV30" s="353"/>
      <c r="KW30" s="353"/>
      <c r="KX30" s="353"/>
      <c r="KY30" s="353"/>
      <c r="KZ30" s="353"/>
      <c r="LA30" s="353"/>
      <c r="LB30" s="353"/>
      <c r="LC30" s="353"/>
      <c r="LD30" s="353"/>
      <c r="LE30" s="353"/>
      <c r="LF30" s="353"/>
      <c r="LG30" s="353"/>
      <c r="LH30" s="353"/>
      <c r="LI30" s="353"/>
      <c r="LJ30" s="353"/>
      <c r="LK30" s="353"/>
      <c r="LL30" s="353"/>
      <c r="LM30" s="353"/>
      <c r="LN30" s="353"/>
      <c r="LO30" s="353"/>
      <c r="LP30" s="353"/>
      <c r="LQ30" s="353"/>
      <c r="LR30" s="353"/>
      <c r="LS30" s="353"/>
      <c r="LT30" s="353"/>
      <c r="LU30" s="353"/>
      <c r="LV30" s="353"/>
      <c r="LW30" s="353"/>
      <c r="LX30" s="353"/>
      <c r="LY30" s="353"/>
      <c r="LZ30" s="353"/>
      <c r="MA30" s="353"/>
      <c r="MB30" s="353"/>
      <c r="MC30" s="353"/>
      <c r="MD30" s="353"/>
      <c r="ME30" s="353"/>
      <c r="MF30" s="353"/>
      <c r="MG30" s="353"/>
      <c r="MH30" s="353"/>
      <c r="MI30" s="353"/>
      <c r="MJ30" s="353"/>
      <c r="MK30" s="353"/>
      <c r="ML30" s="353"/>
      <c r="MM30" s="353"/>
      <c r="MN30" s="353"/>
      <c r="MO30" s="353"/>
      <c r="MP30" s="353"/>
      <c r="MQ30" s="353"/>
      <c r="MR30" s="353"/>
      <c r="MS30" s="353"/>
      <c r="MT30" s="353"/>
      <c r="MU30" s="353"/>
      <c r="MV30" s="353"/>
      <c r="MW30" s="353"/>
      <c r="MX30" s="353"/>
      <c r="MY30" s="353"/>
      <c r="MZ30" s="353"/>
      <c r="NA30" s="353"/>
      <c r="NB30" s="353"/>
      <c r="NC30" s="353"/>
      <c r="ND30" s="353"/>
      <c r="NE30" s="353"/>
      <c r="NF30" s="353"/>
      <c r="NG30" s="353"/>
      <c r="NH30" s="353"/>
      <c r="NI30" s="353"/>
      <c r="NJ30" s="353"/>
      <c r="NK30" s="353"/>
      <c r="NL30" s="353"/>
      <c r="NM30" s="353"/>
      <c r="NN30" s="353"/>
      <c r="NO30" s="353"/>
      <c r="NP30" s="353"/>
      <c r="NQ30" s="353"/>
      <c r="NR30" s="353"/>
      <c r="NS30" s="353"/>
      <c r="NT30" s="353"/>
      <c r="NU30" s="353"/>
      <c r="NV30" s="353"/>
      <c r="NW30" s="353"/>
      <c r="NX30" s="353"/>
      <c r="NY30" s="353"/>
      <c r="NZ30" s="353"/>
      <c r="OA30" s="353"/>
      <c r="OB30" s="353"/>
      <c r="OC30" s="353"/>
      <c r="OD30" s="353"/>
      <c r="OE30" s="353"/>
      <c r="OF30" s="353"/>
      <c r="OG30" s="353"/>
      <c r="OH30" s="353"/>
      <c r="OI30" s="353"/>
      <c r="OJ30" s="353"/>
      <c r="OK30" s="353"/>
      <c r="OL30" s="353"/>
      <c r="OM30" s="353"/>
      <c r="ON30" s="353"/>
      <c r="OO30" s="353"/>
      <c r="OP30" s="353"/>
      <c r="OQ30" s="353"/>
      <c r="OR30" s="353"/>
      <c r="OS30" s="353"/>
      <c r="OT30" s="353"/>
      <c r="OU30" s="353"/>
      <c r="OV30" s="353"/>
      <c r="OW30" s="353"/>
      <c r="OX30" s="353"/>
      <c r="OY30" s="353"/>
      <c r="OZ30" s="353"/>
      <c r="PA30" s="353"/>
      <c r="PB30" s="353"/>
      <c r="PC30" s="353"/>
      <c r="PD30" s="353"/>
      <c r="PE30" s="353"/>
      <c r="PF30" s="353"/>
      <c r="PG30" s="353"/>
      <c r="PH30" s="353"/>
      <c r="PI30" s="353"/>
      <c r="PJ30" s="353"/>
      <c r="PK30" s="353"/>
      <c r="PL30" s="353"/>
      <c r="PM30" s="353"/>
      <c r="PN30" s="353"/>
      <c r="PO30" s="353"/>
      <c r="PP30" s="353"/>
      <c r="PQ30" s="353"/>
      <c r="PR30" s="353"/>
      <c r="PS30" s="353"/>
      <c r="PT30" s="353"/>
      <c r="PU30" s="353"/>
      <c r="PV30" s="353"/>
      <c r="PW30" s="353"/>
      <c r="PX30" s="353"/>
      <c r="PY30" s="353"/>
      <c r="PZ30" s="353"/>
      <c r="QA30" s="353"/>
      <c r="QB30" s="353"/>
      <c r="QC30" s="353"/>
      <c r="QD30" s="353"/>
      <c r="QE30" s="353"/>
      <c r="QF30" s="353"/>
      <c r="QG30" s="353"/>
      <c r="QH30" s="353"/>
      <c r="QI30" s="353"/>
      <c r="QJ30" s="353"/>
      <c r="QK30" s="353"/>
      <c r="QL30" s="353"/>
      <c r="QM30" s="353"/>
      <c r="QN30" s="353"/>
      <c r="QO30" s="353"/>
      <c r="QP30" s="353"/>
      <c r="QQ30" s="353"/>
      <c r="QR30" s="353"/>
      <c r="QS30" s="353"/>
      <c r="QT30" s="353"/>
      <c r="QU30" s="353"/>
      <c r="QV30" s="353"/>
      <c r="QW30" s="353"/>
      <c r="QX30" s="353"/>
      <c r="QY30" s="353"/>
      <c r="QZ30" s="353"/>
      <c r="RA30" s="353"/>
      <c r="RB30" s="353"/>
      <c r="RC30" s="353"/>
      <c r="RD30" s="353"/>
      <c r="RE30" s="353"/>
      <c r="RF30" s="353"/>
      <c r="RG30" s="353"/>
      <c r="RH30" s="353"/>
      <c r="RI30" s="353"/>
      <c r="RJ30" s="353"/>
      <c r="RK30" s="353"/>
      <c r="RL30" s="353"/>
      <c r="RM30" s="353"/>
      <c r="RN30" s="353"/>
      <c r="RO30" s="353"/>
      <c r="RP30" s="353"/>
      <c r="RQ30" s="353"/>
      <c r="RR30" s="353"/>
      <c r="RS30" s="353"/>
      <c r="RT30" s="353"/>
      <c r="RU30" s="353"/>
      <c r="RV30" s="353"/>
      <c r="RW30" s="353"/>
      <c r="RX30" s="353"/>
      <c r="RY30" s="353"/>
      <c r="RZ30" s="353"/>
      <c r="SA30" s="353"/>
      <c r="SB30" s="353"/>
      <c r="SC30" s="353"/>
      <c r="SD30" s="353"/>
      <c r="SE30" s="353"/>
      <c r="SF30" s="353"/>
      <c r="SG30" s="353"/>
      <c r="SH30" s="353"/>
      <c r="SI30" s="353"/>
      <c r="SJ30" s="353"/>
      <c r="SK30" s="353"/>
      <c r="SL30" s="353"/>
      <c r="SM30" s="353"/>
      <c r="SN30" s="353"/>
      <c r="SO30" s="353"/>
      <c r="SP30" s="353"/>
      <c r="SQ30" s="353"/>
      <c r="SR30" s="353"/>
      <c r="SS30" s="353"/>
      <c r="ST30" s="353"/>
      <c r="SU30" s="353"/>
      <c r="SV30" s="353"/>
      <c r="SW30" s="353"/>
      <c r="SX30" s="353"/>
      <c r="SY30" s="353"/>
      <c r="SZ30" s="353"/>
      <c r="TA30" s="353"/>
      <c r="TB30" s="353"/>
      <c r="TC30" s="353"/>
      <c r="TD30" s="353"/>
      <c r="TE30" s="353"/>
      <c r="TF30" s="353"/>
      <c r="TG30" s="353"/>
      <c r="TH30" s="353"/>
      <c r="TI30" s="353"/>
      <c r="TJ30" s="353"/>
      <c r="TK30" s="353"/>
      <c r="TL30" s="353"/>
      <c r="TM30" s="353"/>
      <c r="TN30" s="353"/>
      <c r="TO30" s="353"/>
      <c r="TP30" s="353"/>
      <c r="TQ30" s="353"/>
      <c r="TR30" s="353"/>
      <c r="TS30" s="353"/>
      <c r="TT30" s="353"/>
      <c r="TU30" s="353"/>
      <c r="TV30" s="353"/>
      <c r="TW30" s="353"/>
      <c r="TX30" s="353"/>
      <c r="TY30" s="353"/>
      <c r="TZ30" s="353"/>
      <c r="UA30" s="353"/>
      <c r="UB30" s="353"/>
      <c r="UC30" s="353"/>
      <c r="UD30" s="353"/>
      <c r="UE30" s="353"/>
      <c r="UF30" s="353"/>
      <c r="UG30" s="353"/>
      <c r="UH30" s="353"/>
      <c r="UI30" s="353"/>
      <c r="UJ30" s="353"/>
      <c r="UK30" s="353"/>
      <c r="UL30" s="353"/>
      <c r="UM30" s="353"/>
      <c r="UN30" s="353"/>
      <c r="UO30" s="353"/>
      <c r="UP30" s="353"/>
      <c r="UQ30" s="353"/>
      <c r="UR30" s="353"/>
      <c r="US30" s="353"/>
      <c r="UT30" s="353"/>
      <c r="UU30" s="353"/>
      <c r="UV30" s="353"/>
      <c r="UW30" s="353"/>
      <c r="UX30" s="353"/>
      <c r="UY30" s="353"/>
      <c r="UZ30" s="353"/>
      <c r="VA30" s="353"/>
      <c r="VB30" s="353"/>
      <c r="VC30" s="353"/>
      <c r="VD30" s="353"/>
      <c r="VE30" s="353"/>
      <c r="VF30" s="353"/>
      <c r="VG30" s="353"/>
      <c r="VH30" s="353"/>
      <c r="VI30" s="353"/>
      <c r="VJ30" s="353"/>
      <c r="VK30" s="353"/>
      <c r="VL30" s="353"/>
      <c r="VM30" s="353"/>
      <c r="VN30" s="353"/>
      <c r="VO30" s="353"/>
      <c r="VP30" s="353"/>
      <c r="VQ30" s="353"/>
      <c r="VR30" s="353"/>
      <c r="VS30" s="353"/>
      <c r="VT30" s="353"/>
      <c r="VU30" s="353"/>
      <c r="VV30" s="353"/>
      <c r="VW30" s="353"/>
      <c r="VX30" s="353"/>
      <c r="VY30" s="353"/>
      <c r="VZ30" s="353"/>
      <c r="WA30" s="353"/>
      <c r="WB30" s="353"/>
      <c r="WC30" s="353"/>
      <c r="WD30" s="353"/>
      <c r="WE30" s="353"/>
      <c r="WF30" s="353"/>
      <c r="WG30" s="353"/>
      <c r="WH30" s="353"/>
      <c r="WI30" s="353"/>
      <c r="WJ30" s="353"/>
      <c r="WK30" s="353"/>
      <c r="WL30" s="353"/>
      <c r="WM30" s="353"/>
      <c r="WN30" s="353"/>
      <c r="WO30" s="353"/>
      <c r="WP30" s="353"/>
      <c r="WQ30" s="353"/>
      <c r="WR30" s="353"/>
      <c r="WS30" s="353"/>
      <c r="WT30" s="353"/>
      <c r="WU30" s="353"/>
      <c r="WV30" s="353"/>
      <c r="WW30" s="353"/>
      <c r="WX30" s="353"/>
      <c r="WY30" s="353"/>
      <c r="WZ30" s="353"/>
      <c r="XA30" s="353"/>
      <c r="XB30" s="353"/>
      <c r="XC30" s="353"/>
      <c r="XD30" s="353"/>
      <c r="XE30" s="353"/>
      <c r="XF30" s="353"/>
      <c r="XG30" s="353"/>
      <c r="XH30" s="353"/>
      <c r="XI30" s="353"/>
      <c r="XJ30" s="353"/>
      <c r="XK30" s="353"/>
      <c r="XL30" s="353"/>
      <c r="XM30" s="353"/>
      <c r="XN30" s="353"/>
      <c r="XO30" s="353"/>
      <c r="XP30" s="353"/>
      <c r="XQ30" s="353"/>
      <c r="XR30" s="353"/>
      <c r="XS30" s="353"/>
      <c r="XT30" s="353"/>
      <c r="XU30" s="353"/>
      <c r="XV30" s="353"/>
      <c r="XW30" s="353"/>
      <c r="XX30" s="353"/>
      <c r="XY30" s="353"/>
      <c r="XZ30" s="353"/>
      <c r="YA30" s="353"/>
      <c r="YB30" s="353"/>
      <c r="YC30" s="353"/>
      <c r="YD30" s="353"/>
      <c r="YE30" s="353"/>
      <c r="YF30" s="353"/>
      <c r="YG30" s="353"/>
      <c r="YH30" s="353"/>
      <c r="YI30" s="353"/>
      <c r="YJ30" s="353"/>
      <c r="YK30" s="353"/>
      <c r="YL30" s="353"/>
      <c r="YM30" s="353"/>
      <c r="YN30" s="353"/>
      <c r="YO30" s="353"/>
      <c r="YP30" s="353"/>
      <c r="YQ30" s="353"/>
      <c r="YR30" s="353"/>
      <c r="YS30" s="353"/>
      <c r="YT30" s="353"/>
      <c r="YU30" s="353"/>
      <c r="YV30" s="353"/>
      <c r="YW30" s="353"/>
      <c r="YX30" s="353"/>
      <c r="YY30" s="353"/>
      <c r="YZ30" s="353"/>
      <c r="ZA30" s="353"/>
      <c r="ZB30" s="353"/>
      <c r="ZC30" s="353"/>
      <c r="ZD30" s="353"/>
      <c r="ZE30" s="353"/>
      <c r="ZF30" s="353"/>
      <c r="ZG30" s="353"/>
      <c r="ZH30" s="353"/>
      <c r="ZI30" s="353"/>
      <c r="ZJ30" s="353"/>
      <c r="ZK30" s="353"/>
      <c r="ZL30" s="353"/>
      <c r="ZM30" s="353"/>
      <c r="ZN30" s="353"/>
      <c r="ZO30" s="353"/>
      <c r="ZP30" s="353"/>
      <c r="ZQ30" s="353"/>
      <c r="ZR30" s="353"/>
      <c r="ZS30" s="353"/>
      <c r="ZT30" s="353"/>
      <c r="ZU30" s="353"/>
      <c r="ZV30" s="353"/>
      <c r="ZW30" s="353"/>
      <c r="ZX30" s="353"/>
      <c r="ZY30" s="353"/>
      <c r="ZZ30" s="353"/>
      <c r="AAA30" s="353"/>
      <c r="AAB30" s="353"/>
      <c r="AAC30" s="353"/>
      <c r="AAD30" s="353"/>
      <c r="AAE30" s="353"/>
      <c r="AAF30" s="353"/>
      <c r="AAG30" s="353"/>
      <c r="AAH30" s="353"/>
      <c r="AAI30" s="353"/>
      <c r="AAJ30" s="353"/>
      <c r="AAK30" s="353"/>
      <c r="AAL30" s="353"/>
      <c r="AAM30" s="353"/>
      <c r="AAN30" s="353"/>
      <c r="AAO30" s="353"/>
      <c r="AAP30" s="353"/>
      <c r="AAQ30" s="353"/>
      <c r="AAR30" s="353"/>
      <c r="AAS30" s="353"/>
      <c r="AAT30" s="353"/>
      <c r="AAU30" s="353"/>
      <c r="AAV30" s="353"/>
      <c r="AAW30" s="353"/>
      <c r="AAX30" s="353"/>
      <c r="AAY30" s="353"/>
      <c r="AAZ30" s="353"/>
      <c r="ABA30" s="353"/>
      <c r="ABB30" s="353"/>
      <c r="ABC30" s="353"/>
      <c r="ABD30" s="353"/>
      <c r="ABE30" s="353"/>
      <c r="ABF30" s="353"/>
      <c r="ABG30" s="353"/>
      <c r="ABH30" s="353"/>
      <c r="ABI30" s="353"/>
      <c r="ABJ30" s="353"/>
      <c r="ABK30" s="353"/>
      <c r="ABL30" s="353"/>
      <c r="ABM30" s="353"/>
      <c r="ABN30" s="353"/>
      <c r="ABO30" s="353"/>
      <c r="ABP30" s="353"/>
      <c r="ABQ30" s="353"/>
      <c r="ABR30" s="353"/>
      <c r="ABS30" s="353"/>
      <c r="ABT30" s="353"/>
      <c r="ABU30" s="353"/>
      <c r="ABV30" s="353"/>
      <c r="ABW30" s="353"/>
      <c r="ABX30" s="353"/>
      <c r="ABY30" s="353"/>
      <c r="ABZ30" s="353"/>
      <c r="ACA30" s="353"/>
      <c r="ACB30" s="353"/>
      <c r="ACC30" s="353"/>
      <c r="ACD30" s="353"/>
      <c r="ACE30" s="353"/>
      <c r="ACF30" s="353"/>
      <c r="ACG30" s="353"/>
      <c r="ACH30" s="353"/>
      <c r="ACI30" s="353"/>
      <c r="ACJ30" s="353"/>
      <c r="ACK30" s="353"/>
      <c r="ACL30" s="353"/>
      <c r="ACM30" s="353"/>
      <c r="ACN30" s="353"/>
      <c r="ACO30" s="353"/>
      <c r="ACP30" s="353"/>
      <c r="ACQ30" s="353"/>
      <c r="ACR30" s="353"/>
      <c r="ACS30" s="353"/>
      <c r="ACT30" s="353"/>
      <c r="ACU30" s="353"/>
      <c r="ACV30" s="353"/>
      <c r="ACW30" s="353"/>
      <c r="ACX30" s="353"/>
      <c r="ACY30" s="353"/>
      <c r="ACZ30" s="353"/>
      <c r="ADA30" s="353"/>
      <c r="ADB30" s="353"/>
      <c r="ADC30" s="353"/>
      <c r="ADD30" s="353"/>
      <c r="ADE30" s="353"/>
      <c r="ADF30" s="353"/>
      <c r="ADG30" s="353"/>
      <c r="ADH30" s="353"/>
      <c r="ADI30" s="353"/>
      <c r="ADJ30" s="353"/>
      <c r="ADK30" s="353"/>
      <c r="ADL30" s="353"/>
      <c r="ADM30" s="353"/>
      <c r="ADN30" s="353"/>
      <c r="ADO30" s="353"/>
      <c r="ADP30" s="353"/>
      <c r="ADQ30" s="353"/>
      <c r="ADR30" s="353"/>
      <c r="ADS30" s="353"/>
      <c r="ADT30" s="353"/>
      <c r="ADU30" s="353"/>
      <c r="ADV30" s="353"/>
      <c r="ADW30" s="353"/>
      <c r="ADX30" s="353"/>
      <c r="ADY30" s="353"/>
      <c r="ADZ30" s="353"/>
      <c r="AEA30" s="353"/>
      <c r="AEB30" s="353"/>
      <c r="AEC30" s="353"/>
      <c r="AED30" s="353"/>
      <c r="AEE30" s="353"/>
      <c r="AEF30" s="353"/>
      <c r="AEG30" s="353"/>
      <c r="AEH30" s="353"/>
      <c r="AEI30" s="353"/>
      <c r="AEJ30" s="353"/>
      <c r="AEK30" s="353"/>
      <c r="AEL30" s="353"/>
      <c r="AEM30" s="353"/>
      <c r="AEN30" s="353"/>
      <c r="AEO30" s="353"/>
      <c r="AEP30" s="353"/>
      <c r="AEQ30" s="353"/>
      <c r="AER30" s="353"/>
      <c r="AES30" s="353"/>
      <c r="AET30" s="353"/>
      <c r="AEU30" s="353"/>
      <c r="AEV30" s="353"/>
      <c r="AEW30" s="353"/>
      <c r="AEX30" s="353"/>
      <c r="AEY30" s="353"/>
      <c r="AEZ30" s="353"/>
      <c r="AFA30" s="353"/>
      <c r="AFB30" s="353"/>
      <c r="AFC30" s="353"/>
      <c r="AFD30" s="353"/>
      <c r="AFE30" s="353"/>
      <c r="AFF30" s="353"/>
      <c r="AFG30" s="353"/>
      <c r="AFH30" s="353"/>
      <c r="AFI30" s="353"/>
      <c r="AFJ30" s="353"/>
      <c r="AFK30" s="353"/>
      <c r="AFL30" s="353"/>
      <c r="AFM30" s="353"/>
      <c r="AFN30" s="353"/>
      <c r="AFO30" s="353"/>
      <c r="AFP30" s="353"/>
      <c r="AFQ30" s="353"/>
      <c r="AFR30" s="353"/>
      <c r="AFS30" s="353"/>
      <c r="AFT30" s="353"/>
      <c r="AFU30" s="353"/>
      <c r="AFV30" s="353"/>
      <c r="AFW30" s="353"/>
      <c r="AFX30" s="353"/>
      <c r="AFY30" s="353"/>
      <c r="AFZ30" s="353"/>
      <c r="AGA30" s="353"/>
      <c r="AGB30" s="353"/>
      <c r="AGC30" s="353"/>
      <c r="AGD30" s="353"/>
      <c r="AGE30" s="353"/>
      <c r="AGF30" s="353"/>
      <c r="AGG30" s="353"/>
      <c r="AGH30" s="353"/>
      <c r="AGI30" s="353"/>
      <c r="AGJ30" s="353"/>
      <c r="AGK30" s="353"/>
      <c r="AGL30" s="353"/>
      <c r="AGM30" s="353"/>
      <c r="AGN30" s="353"/>
      <c r="AGO30" s="353"/>
      <c r="AGP30" s="353"/>
      <c r="AGQ30" s="353"/>
      <c r="AGR30" s="353"/>
      <c r="AGS30" s="353"/>
      <c r="AGT30" s="353"/>
      <c r="AGU30" s="353"/>
      <c r="AGV30" s="353"/>
      <c r="AGW30" s="353"/>
      <c r="AGX30" s="353"/>
      <c r="AGY30" s="353"/>
      <c r="AGZ30" s="353"/>
      <c r="AHA30" s="353"/>
      <c r="AHB30" s="353"/>
      <c r="AHC30" s="353"/>
      <c r="AHD30" s="353"/>
      <c r="AHE30" s="353"/>
      <c r="AHF30" s="353"/>
      <c r="AHG30" s="353"/>
      <c r="AHH30" s="353"/>
      <c r="AHI30" s="353"/>
      <c r="AHJ30" s="353"/>
      <c r="AHK30" s="353"/>
      <c r="AHL30" s="353"/>
      <c r="AHM30" s="353"/>
      <c r="AHN30" s="353"/>
      <c r="AHO30" s="353"/>
      <c r="AHP30" s="353"/>
      <c r="AHQ30" s="353"/>
      <c r="AHR30" s="353"/>
      <c r="AHS30" s="353"/>
      <c r="AHT30" s="353"/>
      <c r="AHU30" s="353"/>
      <c r="AHV30" s="353"/>
      <c r="AHW30" s="353"/>
      <c r="AHX30" s="353"/>
      <c r="AHY30" s="353"/>
      <c r="AHZ30" s="353"/>
      <c r="AIA30" s="353"/>
      <c r="AIB30" s="353"/>
      <c r="AIC30" s="353"/>
      <c r="AID30" s="353"/>
      <c r="AIE30" s="353"/>
      <c r="AIF30" s="353"/>
      <c r="AIG30" s="353"/>
      <c r="AIH30" s="353"/>
      <c r="AII30" s="353"/>
      <c r="AIJ30" s="353"/>
      <c r="AIK30" s="353"/>
      <c r="AIL30" s="353"/>
      <c r="AIM30" s="353"/>
      <c r="AIN30" s="353"/>
      <c r="AIO30" s="353"/>
      <c r="AIP30" s="353"/>
      <c r="AIQ30" s="353"/>
      <c r="AIR30" s="353"/>
      <c r="AIS30" s="353"/>
      <c r="AIT30" s="353"/>
      <c r="AIU30" s="353"/>
      <c r="AIV30" s="353"/>
      <c r="AIW30" s="353"/>
      <c r="AIX30" s="353"/>
      <c r="AIY30" s="353"/>
      <c r="AIZ30" s="353"/>
      <c r="AJA30" s="353"/>
      <c r="AJB30" s="353"/>
      <c r="AJC30" s="353"/>
      <c r="AJD30" s="353"/>
      <c r="AJE30" s="353"/>
      <c r="AJF30" s="353"/>
      <c r="AJG30" s="353"/>
      <c r="AJH30" s="353"/>
      <c r="AJI30" s="353"/>
      <c r="AJJ30" s="353"/>
      <c r="AJK30" s="353"/>
      <c r="AJL30" s="353"/>
      <c r="AJM30" s="353"/>
      <c r="AJN30" s="353"/>
      <c r="AJO30" s="353"/>
      <c r="AJP30" s="353"/>
      <c r="AJQ30" s="353"/>
      <c r="AJR30" s="353"/>
      <c r="AJS30" s="353"/>
      <c r="AJT30" s="353"/>
      <c r="AJU30" s="353"/>
      <c r="AJV30" s="353"/>
      <c r="AJW30" s="353"/>
      <c r="AJX30" s="353"/>
      <c r="AJY30" s="353"/>
      <c r="AJZ30" s="353"/>
      <c r="AKA30" s="353"/>
      <c r="AKB30" s="353"/>
      <c r="AKC30" s="353"/>
      <c r="AKD30" s="353"/>
      <c r="AKE30" s="353"/>
      <c r="AKF30" s="353"/>
      <c r="AKG30" s="353"/>
      <c r="AKH30" s="353"/>
      <c r="AKI30" s="353"/>
      <c r="AKJ30" s="353"/>
      <c r="AKK30" s="353"/>
      <c r="AKL30" s="353"/>
      <c r="AKM30" s="353"/>
      <c r="AKN30" s="353"/>
      <c r="AKO30" s="353"/>
      <c r="AKP30" s="353"/>
      <c r="AKQ30" s="353"/>
      <c r="AKR30" s="353"/>
      <c r="AKS30" s="353"/>
      <c r="AKT30" s="353"/>
      <c r="AKU30" s="353"/>
      <c r="AKV30" s="353"/>
      <c r="AKW30" s="353"/>
      <c r="AKX30" s="353"/>
      <c r="AKY30" s="353"/>
      <c r="AKZ30" s="353"/>
      <c r="ALA30" s="353"/>
      <c r="ALB30" s="353"/>
      <c r="ALC30" s="353"/>
      <c r="ALD30" s="353"/>
      <c r="ALE30" s="353"/>
      <c r="ALF30" s="353"/>
      <c r="ALG30" s="353"/>
      <c r="ALH30" s="353"/>
      <c r="ALI30" s="353"/>
      <c r="ALJ30" s="353"/>
      <c r="ALK30" s="353"/>
      <c r="ALL30" s="353"/>
      <c r="ALM30" s="353"/>
      <c r="ALN30" s="353"/>
      <c r="ALO30" s="353"/>
      <c r="ALP30" s="353"/>
      <c r="ALQ30" s="353"/>
      <c r="ALR30" s="353"/>
      <c r="ALS30" s="353"/>
      <c r="ALT30" s="353"/>
      <c r="ALU30" s="353"/>
      <c r="ALV30" s="353"/>
      <c r="ALW30" s="353"/>
      <c r="ALX30" s="353"/>
      <c r="ALY30" s="353"/>
      <c r="ALZ30" s="353"/>
      <c r="AMA30" s="353"/>
      <c r="AMB30" s="353"/>
      <c r="AMC30" s="353"/>
      <c r="AMD30" s="353"/>
      <c r="AME30" s="353"/>
      <c r="AMF30" s="353"/>
      <c r="AMG30" s="353"/>
      <c r="AMH30" s="353"/>
      <c r="AMI30" s="353"/>
      <c r="AMJ30" s="353"/>
      <c r="AMK30" s="353"/>
      <c r="AML30" s="353"/>
      <c r="AMM30" s="353"/>
      <c r="AMN30" s="353"/>
      <c r="AMO30" s="353"/>
      <c r="AMP30" s="353"/>
    </row>
    <row r="31" spans="2:1030" s="354" customFormat="1" ht="12.75" x14ac:dyDescent="0.2">
      <c r="B31" s="404" t="str">
        <f t="shared" si="13"/>
        <v/>
      </c>
      <c r="C31" s="405" t="s">
        <v>63</v>
      </c>
      <c r="D31" s="406" t="s">
        <v>63</v>
      </c>
      <c r="E31" s="406" t="s">
        <v>63</v>
      </c>
      <c r="F31" s="407" t="s">
        <v>63</v>
      </c>
      <c r="G31" s="407" t="s">
        <v>63</v>
      </c>
      <c r="H31" s="408" t="s">
        <v>63</v>
      </c>
      <c r="I31" s="408" t="s">
        <v>63</v>
      </c>
      <c r="J31" s="408" t="s">
        <v>63</v>
      </c>
      <c r="K31" s="408" t="s">
        <v>63</v>
      </c>
      <c r="L31" s="408" t="s">
        <v>63</v>
      </c>
      <c r="M31" s="408" t="s">
        <v>63</v>
      </c>
      <c r="N31" s="409" t="s">
        <v>63</v>
      </c>
      <c r="O31" s="409" t="s">
        <v>63</v>
      </c>
      <c r="P31" s="409" t="s">
        <v>63</v>
      </c>
      <c r="Q31" s="409" t="str">
        <f t="shared" si="4"/>
        <v/>
      </c>
      <c r="R31" s="409" t="str">
        <f t="shared" si="5"/>
        <v/>
      </c>
      <c r="S31" s="410" t="str">
        <f t="shared" si="6"/>
        <v/>
      </c>
      <c r="T31" s="409" t="str">
        <f t="shared" si="7"/>
        <v/>
      </c>
      <c r="U31" s="411" t="str">
        <f t="shared" si="14"/>
        <v/>
      </c>
      <c r="V31" s="411" t="str">
        <f t="shared" si="9"/>
        <v/>
      </c>
      <c r="W31" s="412" t="s">
        <v>63</v>
      </c>
      <c r="X31" s="415" t="s">
        <v>63</v>
      </c>
      <c r="Y31" s="411" t="str">
        <f t="shared" si="10"/>
        <v/>
      </c>
      <c r="Z31" s="411" t="str">
        <f t="shared" si="10"/>
        <v/>
      </c>
      <c r="AA31" s="411" t="str">
        <f t="shared" si="11"/>
        <v/>
      </c>
      <c r="AB31" s="383"/>
      <c r="AC31" s="413"/>
      <c r="AD31" s="413" t="str">
        <f t="shared" si="12"/>
        <v/>
      </c>
      <c r="AE31" s="414" t="str">
        <f>IF($AD31="","",COUNTIFS($AD$14:AD31,"Yes"))</f>
        <v/>
      </c>
      <c r="AF31" s="413" t="str">
        <f>IF(C31="", "", AND(INDEX('Summary Dynamic'!$D$8:$D$10, MATCH(H31, 'Summary Dynamic'!$C$8:$C$10, 0))="Include", INDEX('Summary Dynamic'!$D$12:$D$14, MATCH(I31, 'Summary Dynamic'!$C$12:$C$14, 0))="Include", INDEX('Summary Dynamic'!$D$16:$D$17, MATCH(J31, 'Summary Dynamic'!$C$16:$C$17, 0))="Include", INDEX('Summary Dynamic'!$D$19:$D$20, MATCH(K31, 'Summary Dynamic'!$C$19:$C$20, 0))="Include", INDEX('Summary Dynamic'!$D$22:$D$23, MATCH(L31, 'Summary Dynamic'!$C$22:$C$23, 0))="Include", INDEX('Summary Dynamic'!$D$25:$D$26, MATCH(M31, 'Summary Dynamic'!$C$25:$C$26, 0))="Include"))</f>
        <v/>
      </c>
      <c r="AG31" s="414" t="str">
        <f>IFERROR(IF(C31="", "", IF(AF31=TRUE, COUNTIFS($AF$14:AF31, TRUE), "n/a")), "n/a")</f>
        <v/>
      </c>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53"/>
      <c r="DI31" s="353"/>
      <c r="DJ31" s="353"/>
      <c r="DK31" s="353"/>
      <c r="DL31" s="353"/>
      <c r="DM31" s="353"/>
      <c r="DN31" s="353"/>
      <c r="DO31" s="353"/>
      <c r="DP31" s="353"/>
      <c r="DQ31" s="353"/>
      <c r="DR31" s="353"/>
      <c r="DS31" s="353"/>
      <c r="DT31" s="353"/>
      <c r="DU31" s="353"/>
      <c r="DV31" s="353"/>
      <c r="DW31" s="353"/>
      <c r="DX31" s="353"/>
      <c r="DY31" s="353"/>
      <c r="DZ31" s="353"/>
      <c r="EA31" s="353"/>
      <c r="EB31" s="353"/>
      <c r="EC31" s="353"/>
      <c r="ED31" s="353"/>
      <c r="EE31" s="353"/>
      <c r="EF31" s="353"/>
      <c r="EG31" s="353"/>
      <c r="EH31" s="353"/>
      <c r="EI31" s="353"/>
      <c r="EJ31" s="353"/>
      <c r="EK31" s="353"/>
      <c r="EL31" s="353"/>
      <c r="EM31" s="353"/>
      <c r="EN31" s="353"/>
      <c r="EO31" s="353"/>
      <c r="EP31" s="353"/>
      <c r="EQ31" s="353"/>
      <c r="ER31" s="353"/>
      <c r="ES31" s="353"/>
      <c r="ET31" s="353"/>
      <c r="EU31" s="353"/>
      <c r="EV31" s="353"/>
      <c r="EW31" s="353"/>
      <c r="EX31" s="353"/>
      <c r="EY31" s="353"/>
      <c r="EZ31" s="353"/>
      <c r="FA31" s="353"/>
      <c r="FB31" s="353"/>
      <c r="FC31" s="353"/>
      <c r="FD31" s="353"/>
      <c r="FE31" s="353"/>
      <c r="FF31" s="353"/>
      <c r="FG31" s="353"/>
      <c r="FH31" s="353"/>
      <c r="FI31" s="353"/>
      <c r="FJ31" s="353"/>
      <c r="FK31" s="353"/>
      <c r="FL31" s="353"/>
      <c r="FM31" s="353"/>
      <c r="FN31" s="353"/>
      <c r="FO31" s="353"/>
      <c r="FP31" s="353"/>
      <c r="FQ31" s="353"/>
      <c r="FR31" s="353"/>
      <c r="FS31" s="353"/>
      <c r="FT31" s="353"/>
      <c r="FU31" s="353"/>
      <c r="FV31" s="353"/>
      <c r="FW31" s="353"/>
      <c r="FX31" s="353"/>
      <c r="FY31" s="353"/>
      <c r="FZ31" s="353"/>
      <c r="GA31" s="353"/>
      <c r="GB31" s="353"/>
      <c r="GC31" s="353"/>
      <c r="GD31" s="353"/>
      <c r="GE31" s="353"/>
      <c r="GF31" s="353"/>
      <c r="GG31" s="353"/>
      <c r="GH31" s="353"/>
      <c r="GI31" s="353"/>
      <c r="GJ31" s="353"/>
      <c r="GK31" s="353"/>
      <c r="GL31" s="353"/>
      <c r="GM31" s="353"/>
      <c r="GN31" s="353"/>
      <c r="GO31" s="353"/>
      <c r="GP31" s="353"/>
      <c r="GQ31" s="353"/>
      <c r="GR31" s="353"/>
      <c r="GS31" s="353"/>
      <c r="GT31" s="353"/>
      <c r="GU31" s="353"/>
      <c r="GV31" s="353"/>
      <c r="GW31" s="353"/>
      <c r="GX31" s="353"/>
      <c r="GY31" s="353"/>
      <c r="GZ31" s="353"/>
      <c r="HA31" s="353"/>
      <c r="HB31" s="353"/>
      <c r="HC31" s="353"/>
      <c r="HD31" s="353"/>
      <c r="HE31" s="353"/>
      <c r="HF31" s="353"/>
      <c r="HG31" s="353"/>
      <c r="HH31" s="353"/>
      <c r="HI31" s="353"/>
      <c r="HJ31" s="353"/>
      <c r="HK31" s="353"/>
      <c r="HL31" s="353"/>
      <c r="HM31" s="353"/>
      <c r="HN31" s="353"/>
      <c r="HO31" s="353"/>
      <c r="HP31" s="353"/>
      <c r="HQ31" s="353"/>
      <c r="HR31" s="353"/>
      <c r="HS31" s="353"/>
      <c r="HT31" s="353"/>
      <c r="HU31" s="353"/>
      <c r="HV31" s="353"/>
      <c r="HW31" s="353"/>
      <c r="HX31" s="353"/>
      <c r="HY31" s="353"/>
      <c r="HZ31" s="353"/>
      <c r="IA31" s="353"/>
      <c r="IB31" s="353"/>
      <c r="IC31" s="353"/>
      <c r="ID31" s="353"/>
      <c r="IE31" s="353"/>
      <c r="IF31" s="353"/>
      <c r="IG31" s="353"/>
      <c r="IH31" s="353"/>
      <c r="II31" s="353"/>
      <c r="IJ31" s="353"/>
      <c r="IK31" s="353"/>
      <c r="IL31" s="353"/>
      <c r="IM31" s="353"/>
      <c r="IN31" s="353"/>
      <c r="IO31" s="353"/>
      <c r="IP31" s="353"/>
      <c r="IQ31" s="353"/>
      <c r="IR31" s="353"/>
      <c r="IS31" s="353"/>
      <c r="IT31" s="353"/>
      <c r="IU31" s="353"/>
      <c r="IV31" s="353"/>
      <c r="IW31" s="353"/>
      <c r="IX31" s="353"/>
      <c r="IY31" s="353"/>
      <c r="IZ31" s="353"/>
      <c r="JA31" s="353"/>
      <c r="JB31" s="353"/>
      <c r="JC31" s="353"/>
      <c r="JD31" s="353"/>
      <c r="JE31" s="353"/>
      <c r="JF31" s="353"/>
      <c r="JG31" s="353"/>
      <c r="JH31" s="353"/>
      <c r="JI31" s="353"/>
      <c r="JJ31" s="353"/>
      <c r="JK31" s="353"/>
      <c r="JL31" s="353"/>
      <c r="JM31" s="353"/>
      <c r="JN31" s="353"/>
      <c r="JO31" s="353"/>
      <c r="JP31" s="353"/>
      <c r="JQ31" s="353"/>
      <c r="JR31" s="353"/>
      <c r="JS31" s="353"/>
      <c r="JT31" s="353"/>
      <c r="JU31" s="353"/>
      <c r="JV31" s="353"/>
      <c r="JW31" s="353"/>
      <c r="JX31" s="353"/>
      <c r="JY31" s="353"/>
      <c r="JZ31" s="353"/>
      <c r="KA31" s="353"/>
      <c r="KB31" s="353"/>
      <c r="KC31" s="353"/>
      <c r="KD31" s="353"/>
      <c r="KE31" s="353"/>
      <c r="KF31" s="353"/>
      <c r="KG31" s="353"/>
      <c r="KH31" s="353"/>
      <c r="KI31" s="353"/>
      <c r="KJ31" s="353"/>
      <c r="KK31" s="353"/>
      <c r="KL31" s="353"/>
      <c r="KM31" s="353"/>
      <c r="KN31" s="353"/>
      <c r="KO31" s="353"/>
      <c r="KP31" s="353"/>
      <c r="KQ31" s="353"/>
      <c r="KR31" s="353"/>
      <c r="KS31" s="353"/>
      <c r="KT31" s="353"/>
      <c r="KU31" s="353"/>
      <c r="KV31" s="353"/>
      <c r="KW31" s="353"/>
      <c r="KX31" s="353"/>
      <c r="KY31" s="353"/>
      <c r="KZ31" s="353"/>
      <c r="LA31" s="353"/>
      <c r="LB31" s="353"/>
      <c r="LC31" s="353"/>
      <c r="LD31" s="353"/>
      <c r="LE31" s="353"/>
      <c r="LF31" s="353"/>
      <c r="LG31" s="353"/>
      <c r="LH31" s="353"/>
      <c r="LI31" s="353"/>
      <c r="LJ31" s="353"/>
      <c r="LK31" s="353"/>
      <c r="LL31" s="353"/>
      <c r="LM31" s="353"/>
      <c r="LN31" s="353"/>
      <c r="LO31" s="353"/>
      <c r="LP31" s="353"/>
      <c r="LQ31" s="353"/>
      <c r="LR31" s="353"/>
      <c r="LS31" s="353"/>
      <c r="LT31" s="353"/>
      <c r="LU31" s="353"/>
      <c r="LV31" s="353"/>
      <c r="LW31" s="353"/>
      <c r="LX31" s="353"/>
      <c r="LY31" s="353"/>
      <c r="LZ31" s="353"/>
      <c r="MA31" s="353"/>
      <c r="MB31" s="353"/>
      <c r="MC31" s="353"/>
      <c r="MD31" s="353"/>
      <c r="ME31" s="353"/>
      <c r="MF31" s="353"/>
      <c r="MG31" s="353"/>
      <c r="MH31" s="353"/>
      <c r="MI31" s="353"/>
      <c r="MJ31" s="353"/>
      <c r="MK31" s="353"/>
      <c r="ML31" s="353"/>
      <c r="MM31" s="353"/>
      <c r="MN31" s="353"/>
      <c r="MO31" s="353"/>
      <c r="MP31" s="353"/>
      <c r="MQ31" s="353"/>
      <c r="MR31" s="353"/>
      <c r="MS31" s="353"/>
      <c r="MT31" s="353"/>
      <c r="MU31" s="353"/>
      <c r="MV31" s="353"/>
      <c r="MW31" s="353"/>
      <c r="MX31" s="353"/>
      <c r="MY31" s="353"/>
      <c r="MZ31" s="353"/>
      <c r="NA31" s="353"/>
      <c r="NB31" s="353"/>
      <c r="NC31" s="353"/>
      <c r="ND31" s="353"/>
      <c r="NE31" s="353"/>
      <c r="NF31" s="353"/>
      <c r="NG31" s="353"/>
      <c r="NH31" s="353"/>
      <c r="NI31" s="353"/>
      <c r="NJ31" s="353"/>
      <c r="NK31" s="353"/>
      <c r="NL31" s="353"/>
      <c r="NM31" s="353"/>
      <c r="NN31" s="353"/>
      <c r="NO31" s="353"/>
      <c r="NP31" s="353"/>
      <c r="NQ31" s="353"/>
      <c r="NR31" s="353"/>
      <c r="NS31" s="353"/>
      <c r="NT31" s="353"/>
      <c r="NU31" s="353"/>
      <c r="NV31" s="353"/>
      <c r="NW31" s="353"/>
      <c r="NX31" s="353"/>
      <c r="NY31" s="353"/>
      <c r="NZ31" s="353"/>
      <c r="OA31" s="353"/>
      <c r="OB31" s="353"/>
      <c r="OC31" s="353"/>
      <c r="OD31" s="353"/>
      <c r="OE31" s="353"/>
      <c r="OF31" s="353"/>
      <c r="OG31" s="353"/>
      <c r="OH31" s="353"/>
      <c r="OI31" s="353"/>
      <c r="OJ31" s="353"/>
      <c r="OK31" s="353"/>
      <c r="OL31" s="353"/>
      <c r="OM31" s="353"/>
      <c r="ON31" s="353"/>
      <c r="OO31" s="353"/>
      <c r="OP31" s="353"/>
      <c r="OQ31" s="353"/>
      <c r="OR31" s="353"/>
      <c r="OS31" s="353"/>
      <c r="OT31" s="353"/>
      <c r="OU31" s="353"/>
      <c r="OV31" s="353"/>
      <c r="OW31" s="353"/>
      <c r="OX31" s="353"/>
      <c r="OY31" s="353"/>
      <c r="OZ31" s="353"/>
      <c r="PA31" s="353"/>
      <c r="PB31" s="353"/>
      <c r="PC31" s="353"/>
      <c r="PD31" s="353"/>
      <c r="PE31" s="353"/>
      <c r="PF31" s="353"/>
      <c r="PG31" s="353"/>
      <c r="PH31" s="353"/>
      <c r="PI31" s="353"/>
      <c r="PJ31" s="353"/>
      <c r="PK31" s="353"/>
      <c r="PL31" s="353"/>
      <c r="PM31" s="353"/>
      <c r="PN31" s="353"/>
      <c r="PO31" s="353"/>
      <c r="PP31" s="353"/>
      <c r="PQ31" s="353"/>
      <c r="PR31" s="353"/>
      <c r="PS31" s="353"/>
      <c r="PT31" s="353"/>
      <c r="PU31" s="353"/>
      <c r="PV31" s="353"/>
      <c r="PW31" s="353"/>
      <c r="PX31" s="353"/>
      <c r="PY31" s="353"/>
      <c r="PZ31" s="353"/>
      <c r="QA31" s="353"/>
      <c r="QB31" s="353"/>
      <c r="QC31" s="353"/>
      <c r="QD31" s="353"/>
      <c r="QE31" s="353"/>
      <c r="QF31" s="353"/>
      <c r="QG31" s="353"/>
      <c r="QH31" s="353"/>
      <c r="QI31" s="353"/>
      <c r="QJ31" s="353"/>
      <c r="QK31" s="353"/>
      <c r="QL31" s="353"/>
      <c r="QM31" s="353"/>
      <c r="QN31" s="353"/>
      <c r="QO31" s="353"/>
      <c r="QP31" s="353"/>
      <c r="QQ31" s="353"/>
      <c r="QR31" s="353"/>
      <c r="QS31" s="353"/>
      <c r="QT31" s="353"/>
      <c r="QU31" s="353"/>
      <c r="QV31" s="353"/>
      <c r="QW31" s="353"/>
      <c r="QX31" s="353"/>
      <c r="QY31" s="353"/>
      <c r="QZ31" s="353"/>
      <c r="RA31" s="353"/>
      <c r="RB31" s="353"/>
      <c r="RC31" s="353"/>
      <c r="RD31" s="353"/>
      <c r="RE31" s="353"/>
      <c r="RF31" s="353"/>
      <c r="RG31" s="353"/>
      <c r="RH31" s="353"/>
      <c r="RI31" s="353"/>
      <c r="RJ31" s="353"/>
      <c r="RK31" s="353"/>
      <c r="RL31" s="353"/>
      <c r="RM31" s="353"/>
      <c r="RN31" s="353"/>
      <c r="RO31" s="353"/>
      <c r="RP31" s="353"/>
      <c r="RQ31" s="353"/>
      <c r="RR31" s="353"/>
      <c r="RS31" s="353"/>
      <c r="RT31" s="353"/>
      <c r="RU31" s="353"/>
      <c r="RV31" s="353"/>
      <c r="RW31" s="353"/>
      <c r="RX31" s="353"/>
      <c r="RY31" s="353"/>
      <c r="RZ31" s="353"/>
      <c r="SA31" s="353"/>
      <c r="SB31" s="353"/>
      <c r="SC31" s="353"/>
      <c r="SD31" s="353"/>
      <c r="SE31" s="353"/>
      <c r="SF31" s="353"/>
      <c r="SG31" s="353"/>
      <c r="SH31" s="353"/>
      <c r="SI31" s="353"/>
      <c r="SJ31" s="353"/>
      <c r="SK31" s="353"/>
      <c r="SL31" s="353"/>
      <c r="SM31" s="353"/>
      <c r="SN31" s="353"/>
      <c r="SO31" s="353"/>
      <c r="SP31" s="353"/>
      <c r="SQ31" s="353"/>
      <c r="SR31" s="353"/>
      <c r="SS31" s="353"/>
      <c r="ST31" s="353"/>
      <c r="SU31" s="353"/>
      <c r="SV31" s="353"/>
      <c r="SW31" s="353"/>
      <c r="SX31" s="353"/>
      <c r="SY31" s="353"/>
      <c r="SZ31" s="353"/>
      <c r="TA31" s="353"/>
      <c r="TB31" s="353"/>
      <c r="TC31" s="353"/>
      <c r="TD31" s="353"/>
      <c r="TE31" s="353"/>
      <c r="TF31" s="353"/>
      <c r="TG31" s="353"/>
      <c r="TH31" s="353"/>
      <c r="TI31" s="353"/>
      <c r="TJ31" s="353"/>
      <c r="TK31" s="353"/>
      <c r="TL31" s="353"/>
      <c r="TM31" s="353"/>
      <c r="TN31" s="353"/>
      <c r="TO31" s="353"/>
      <c r="TP31" s="353"/>
      <c r="TQ31" s="353"/>
      <c r="TR31" s="353"/>
      <c r="TS31" s="353"/>
      <c r="TT31" s="353"/>
      <c r="TU31" s="353"/>
      <c r="TV31" s="353"/>
      <c r="TW31" s="353"/>
      <c r="TX31" s="353"/>
      <c r="TY31" s="353"/>
      <c r="TZ31" s="353"/>
      <c r="UA31" s="353"/>
      <c r="UB31" s="353"/>
      <c r="UC31" s="353"/>
      <c r="UD31" s="353"/>
      <c r="UE31" s="353"/>
      <c r="UF31" s="353"/>
      <c r="UG31" s="353"/>
      <c r="UH31" s="353"/>
      <c r="UI31" s="353"/>
      <c r="UJ31" s="353"/>
      <c r="UK31" s="353"/>
      <c r="UL31" s="353"/>
      <c r="UM31" s="353"/>
      <c r="UN31" s="353"/>
      <c r="UO31" s="353"/>
      <c r="UP31" s="353"/>
      <c r="UQ31" s="353"/>
      <c r="UR31" s="353"/>
      <c r="US31" s="353"/>
      <c r="UT31" s="353"/>
      <c r="UU31" s="353"/>
      <c r="UV31" s="353"/>
      <c r="UW31" s="353"/>
      <c r="UX31" s="353"/>
      <c r="UY31" s="353"/>
      <c r="UZ31" s="353"/>
      <c r="VA31" s="353"/>
      <c r="VB31" s="353"/>
      <c r="VC31" s="353"/>
      <c r="VD31" s="353"/>
      <c r="VE31" s="353"/>
      <c r="VF31" s="353"/>
      <c r="VG31" s="353"/>
      <c r="VH31" s="353"/>
      <c r="VI31" s="353"/>
      <c r="VJ31" s="353"/>
      <c r="VK31" s="353"/>
      <c r="VL31" s="353"/>
      <c r="VM31" s="353"/>
      <c r="VN31" s="353"/>
      <c r="VO31" s="353"/>
      <c r="VP31" s="353"/>
      <c r="VQ31" s="353"/>
      <c r="VR31" s="353"/>
      <c r="VS31" s="353"/>
      <c r="VT31" s="353"/>
      <c r="VU31" s="353"/>
      <c r="VV31" s="353"/>
      <c r="VW31" s="353"/>
      <c r="VX31" s="353"/>
      <c r="VY31" s="353"/>
      <c r="VZ31" s="353"/>
      <c r="WA31" s="353"/>
      <c r="WB31" s="353"/>
      <c r="WC31" s="353"/>
      <c r="WD31" s="353"/>
      <c r="WE31" s="353"/>
      <c r="WF31" s="353"/>
      <c r="WG31" s="353"/>
      <c r="WH31" s="353"/>
      <c r="WI31" s="353"/>
      <c r="WJ31" s="353"/>
      <c r="WK31" s="353"/>
      <c r="WL31" s="353"/>
      <c r="WM31" s="353"/>
      <c r="WN31" s="353"/>
      <c r="WO31" s="353"/>
      <c r="WP31" s="353"/>
      <c r="WQ31" s="353"/>
      <c r="WR31" s="353"/>
      <c r="WS31" s="353"/>
      <c r="WT31" s="353"/>
      <c r="WU31" s="353"/>
      <c r="WV31" s="353"/>
      <c r="WW31" s="353"/>
      <c r="WX31" s="353"/>
      <c r="WY31" s="353"/>
      <c r="WZ31" s="353"/>
      <c r="XA31" s="353"/>
      <c r="XB31" s="353"/>
      <c r="XC31" s="353"/>
      <c r="XD31" s="353"/>
      <c r="XE31" s="353"/>
      <c r="XF31" s="353"/>
      <c r="XG31" s="353"/>
      <c r="XH31" s="353"/>
      <c r="XI31" s="353"/>
      <c r="XJ31" s="353"/>
      <c r="XK31" s="353"/>
      <c r="XL31" s="353"/>
      <c r="XM31" s="353"/>
      <c r="XN31" s="353"/>
      <c r="XO31" s="353"/>
      <c r="XP31" s="353"/>
      <c r="XQ31" s="353"/>
      <c r="XR31" s="353"/>
      <c r="XS31" s="353"/>
      <c r="XT31" s="353"/>
      <c r="XU31" s="353"/>
      <c r="XV31" s="353"/>
      <c r="XW31" s="353"/>
      <c r="XX31" s="353"/>
      <c r="XY31" s="353"/>
      <c r="XZ31" s="353"/>
      <c r="YA31" s="353"/>
      <c r="YB31" s="353"/>
      <c r="YC31" s="353"/>
      <c r="YD31" s="353"/>
      <c r="YE31" s="353"/>
      <c r="YF31" s="353"/>
      <c r="YG31" s="353"/>
      <c r="YH31" s="353"/>
      <c r="YI31" s="353"/>
      <c r="YJ31" s="353"/>
      <c r="YK31" s="353"/>
      <c r="YL31" s="353"/>
      <c r="YM31" s="353"/>
      <c r="YN31" s="353"/>
      <c r="YO31" s="353"/>
      <c r="YP31" s="353"/>
      <c r="YQ31" s="353"/>
      <c r="YR31" s="353"/>
      <c r="YS31" s="353"/>
      <c r="YT31" s="353"/>
      <c r="YU31" s="353"/>
      <c r="YV31" s="353"/>
      <c r="YW31" s="353"/>
      <c r="YX31" s="353"/>
      <c r="YY31" s="353"/>
      <c r="YZ31" s="353"/>
      <c r="ZA31" s="353"/>
      <c r="ZB31" s="353"/>
      <c r="ZC31" s="353"/>
      <c r="ZD31" s="353"/>
      <c r="ZE31" s="353"/>
      <c r="ZF31" s="353"/>
      <c r="ZG31" s="353"/>
      <c r="ZH31" s="353"/>
      <c r="ZI31" s="353"/>
      <c r="ZJ31" s="353"/>
      <c r="ZK31" s="353"/>
      <c r="ZL31" s="353"/>
      <c r="ZM31" s="353"/>
      <c r="ZN31" s="353"/>
      <c r="ZO31" s="353"/>
      <c r="ZP31" s="353"/>
      <c r="ZQ31" s="353"/>
      <c r="ZR31" s="353"/>
      <c r="ZS31" s="353"/>
      <c r="ZT31" s="353"/>
      <c r="ZU31" s="353"/>
      <c r="ZV31" s="353"/>
      <c r="ZW31" s="353"/>
      <c r="ZX31" s="353"/>
      <c r="ZY31" s="353"/>
      <c r="ZZ31" s="353"/>
      <c r="AAA31" s="353"/>
      <c r="AAB31" s="353"/>
      <c r="AAC31" s="353"/>
      <c r="AAD31" s="353"/>
      <c r="AAE31" s="353"/>
      <c r="AAF31" s="353"/>
      <c r="AAG31" s="353"/>
      <c r="AAH31" s="353"/>
      <c r="AAI31" s="353"/>
      <c r="AAJ31" s="353"/>
      <c r="AAK31" s="353"/>
      <c r="AAL31" s="353"/>
      <c r="AAM31" s="353"/>
      <c r="AAN31" s="353"/>
      <c r="AAO31" s="353"/>
      <c r="AAP31" s="353"/>
      <c r="AAQ31" s="353"/>
      <c r="AAR31" s="353"/>
      <c r="AAS31" s="353"/>
      <c r="AAT31" s="353"/>
      <c r="AAU31" s="353"/>
      <c r="AAV31" s="353"/>
      <c r="AAW31" s="353"/>
      <c r="AAX31" s="353"/>
      <c r="AAY31" s="353"/>
      <c r="AAZ31" s="353"/>
      <c r="ABA31" s="353"/>
      <c r="ABB31" s="353"/>
      <c r="ABC31" s="353"/>
      <c r="ABD31" s="353"/>
      <c r="ABE31" s="353"/>
      <c r="ABF31" s="353"/>
      <c r="ABG31" s="353"/>
      <c r="ABH31" s="353"/>
      <c r="ABI31" s="353"/>
      <c r="ABJ31" s="353"/>
      <c r="ABK31" s="353"/>
      <c r="ABL31" s="353"/>
      <c r="ABM31" s="353"/>
      <c r="ABN31" s="353"/>
      <c r="ABO31" s="353"/>
      <c r="ABP31" s="353"/>
      <c r="ABQ31" s="353"/>
      <c r="ABR31" s="353"/>
      <c r="ABS31" s="353"/>
      <c r="ABT31" s="353"/>
      <c r="ABU31" s="353"/>
      <c r="ABV31" s="353"/>
      <c r="ABW31" s="353"/>
      <c r="ABX31" s="353"/>
      <c r="ABY31" s="353"/>
      <c r="ABZ31" s="353"/>
      <c r="ACA31" s="353"/>
      <c r="ACB31" s="353"/>
      <c r="ACC31" s="353"/>
      <c r="ACD31" s="353"/>
      <c r="ACE31" s="353"/>
      <c r="ACF31" s="353"/>
      <c r="ACG31" s="353"/>
      <c r="ACH31" s="353"/>
      <c r="ACI31" s="353"/>
      <c r="ACJ31" s="353"/>
      <c r="ACK31" s="353"/>
      <c r="ACL31" s="353"/>
      <c r="ACM31" s="353"/>
      <c r="ACN31" s="353"/>
      <c r="ACO31" s="353"/>
      <c r="ACP31" s="353"/>
      <c r="ACQ31" s="353"/>
      <c r="ACR31" s="353"/>
      <c r="ACS31" s="353"/>
      <c r="ACT31" s="353"/>
      <c r="ACU31" s="353"/>
      <c r="ACV31" s="353"/>
      <c r="ACW31" s="353"/>
      <c r="ACX31" s="353"/>
      <c r="ACY31" s="353"/>
      <c r="ACZ31" s="353"/>
      <c r="ADA31" s="353"/>
      <c r="ADB31" s="353"/>
      <c r="ADC31" s="353"/>
      <c r="ADD31" s="353"/>
      <c r="ADE31" s="353"/>
      <c r="ADF31" s="353"/>
      <c r="ADG31" s="353"/>
      <c r="ADH31" s="353"/>
      <c r="ADI31" s="353"/>
      <c r="ADJ31" s="353"/>
      <c r="ADK31" s="353"/>
      <c r="ADL31" s="353"/>
      <c r="ADM31" s="353"/>
      <c r="ADN31" s="353"/>
      <c r="ADO31" s="353"/>
      <c r="ADP31" s="353"/>
      <c r="ADQ31" s="353"/>
      <c r="ADR31" s="353"/>
      <c r="ADS31" s="353"/>
      <c r="ADT31" s="353"/>
      <c r="ADU31" s="353"/>
      <c r="ADV31" s="353"/>
      <c r="ADW31" s="353"/>
      <c r="ADX31" s="353"/>
      <c r="ADY31" s="353"/>
      <c r="ADZ31" s="353"/>
      <c r="AEA31" s="353"/>
      <c r="AEB31" s="353"/>
      <c r="AEC31" s="353"/>
      <c r="AED31" s="353"/>
      <c r="AEE31" s="353"/>
      <c r="AEF31" s="353"/>
      <c r="AEG31" s="353"/>
      <c r="AEH31" s="353"/>
      <c r="AEI31" s="353"/>
      <c r="AEJ31" s="353"/>
      <c r="AEK31" s="353"/>
      <c r="AEL31" s="353"/>
      <c r="AEM31" s="353"/>
      <c r="AEN31" s="353"/>
      <c r="AEO31" s="353"/>
      <c r="AEP31" s="353"/>
      <c r="AEQ31" s="353"/>
      <c r="AER31" s="353"/>
      <c r="AES31" s="353"/>
      <c r="AET31" s="353"/>
      <c r="AEU31" s="353"/>
      <c r="AEV31" s="353"/>
      <c r="AEW31" s="353"/>
      <c r="AEX31" s="353"/>
      <c r="AEY31" s="353"/>
      <c r="AEZ31" s="353"/>
      <c r="AFA31" s="353"/>
      <c r="AFB31" s="353"/>
      <c r="AFC31" s="353"/>
      <c r="AFD31" s="353"/>
      <c r="AFE31" s="353"/>
      <c r="AFF31" s="353"/>
      <c r="AFG31" s="353"/>
      <c r="AFH31" s="353"/>
      <c r="AFI31" s="353"/>
      <c r="AFJ31" s="353"/>
      <c r="AFK31" s="353"/>
      <c r="AFL31" s="353"/>
      <c r="AFM31" s="353"/>
      <c r="AFN31" s="353"/>
      <c r="AFO31" s="353"/>
      <c r="AFP31" s="353"/>
      <c r="AFQ31" s="353"/>
      <c r="AFR31" s="353"/>
      <c r="AFS31" s="353"/>
      <c r="AFT31" s="353"/>
      <c r="AFU31" s="353"/>
      <c r="AFV31" s="353"/>
      <c r="AFW31" s="353"/>
      <c r="AFX31" s="353"/>
      <c r="AFY31" s="353"/>
      <c r="AFZ31" s="353"/>
      <c r="AGA31" s="353"/>
      <c r="AGB31" s="353"/>
      <c r="AGC31" s="353"/>
      <c r="AGD31" s="353"/>
      <c r="AGE31" s="353"/>
      <c r="AGF31" s="353"/>
      <c r="AGG31" s="353"/>
      <c r="AGH31" s="353"/>
      <c r="AGI31" s="353"/>
      <c r="AGJ31" s="353"/>
      <c r="AGK31" s="353"/>
      <c r="AGL31" s="353"/>
      <c r="AGM31" s="353"/>
      <c r="AGN31" s="353"/>
      <c r="AGO31" s="353"/>
      <c r="AGP31" s="353"/>
      <c r="AGQ31" s="353"/>
      <c r="AGR31" s="353"/>
      <c r="AGS31" s="353"/>
      <c r="AGT31" s="353"/>
      <c r="AGU31" s="353"/>
      <c r="AGV31" s="353"/>
      <c r="AGW31" s="353"/>
      <c r="AGX31" s="353"/>
      <c r="AGY31" s="353"/>
      <c r="AGZ31" s="353"/>
      <c r="AHA31" s="353"/>
      <c r="AHB31" s="353"/>
      <c r="AHC31" s="353"/>
      <c r="AHD31" s="353"/>
      <c r="AHE31" s="353"/>
      <c r="AHF31" s="353"/>
      <c r="AHG31" s="353"/>
      <c r="AHH31" s="353"/>
      <c r="AHI31" s="353"/>
      <c r="AHJ31" s="353"/>
      <c r="AHK31" s="353"/>
      <c r="AHL31" s="353"/>
      <c r="AHM31" s="353"/>
      <c r="AHN31" s="353"/>
      <c r="AHO31" s="353"/>
      <c r="AHP31" s="353"/>
      <c r="AHQ31" s="353"/>
      <c r="AHR31" s="353"/>
      <c r="AHS31" s="353"/>
      <c r="AHT31" s="353"/>
      <c r="AHU31" s="353"/>
      <c r="AHV31" s="353"/>
      <c r="AHW31" s="353"/>
      <c r="AHX31" s="353"/>
      <c r="AHY31" s="353"/>
      <c r="AHZ31" s="353"/>
      <c r="AIA31" s="353"/>
      <c r="AIB31" s="353"/>
      <c r="AIC31" s="353"/>
      <c r="AID31" s="353"/>
      <c r="AIE31" s="353"/>
      <c r="AIF31" s="353"/>
      <c r="AIG31" s="353"/>
      <c r="AIH31" s="353"/>
      <c r="AII31" s="353"/>
      <c r="AIJ31" s="353"/>
      <c r="AIK31" s="353"/>
      <c r="AIL31" s="353"/>
      <c r="AIM31" s="353"/>
      <c r="AIN31" s="353"/>
      <c r="AIO31" s="353"/>
      <c r="AIP31" s="353"/>
      <c r="AIQ31" s="353"/>
      <c r="AIR31" s="353"/>
      <c r="AIS31" s="353"/>
      <c r="AIT31" s="353"/>
      <c r="AIU31" s="353"/>
      <c r="AIV31" s="353"/>
      <c r="AIW31" s="353"/>
      <c r="AIX31" s="353"/>
      <c r="AIY31" s="353"/>
      <c r="AIZ31" s="353"/>
      <c r="AJA31" s="353"/>
      <c r="AJB31" s="353"/>
      <c r="AJC31" s="353"/>
      <c r="AJD31" s="353"/>
      <c r="AJE31" s="353"/>
      <c r="AJF31" s="353"/>
      <c r="AJG31" s="353"/>
      <c r="AJH31" s="353"/>
      <c r="AJI31" s="353"/>
      <c r="AJJ31" s="353"/>
      <c r="AJK31" s="353"/>
      <c r="AJL31" s="353"/>
      <c r="AJM31" s="353"/>
      <c r="AJN31" s="353"/>
      <c r="AJO31" s="353"/>
      <c r="AJP31" s="353"/>
      <c r="AJQ31" s="353"/>
      <c r="AJR31" s="353"/>
      <c r="AJS31" s="353"/>
      <c r="AJT31" s="353"/>
      <c r="AJU31" s="353"/>
      <c r="AJV31" s="353"/>
      <c r="AJW31" s="353"/>
      <c r="AJX31" s="353"/>
      <c r="AJY31" s="353"/>
      <c r="AJZ31" s="353"/>
      <c r="AKA31" s="353"/>
      <c r="AKB31" s="353"/>
      <c r="AKC31" s="353"/>
      <c r="AKD31" s="353"/>
      <c r="AKE31" s="353"/>
      <c r="AKF31" s="353"/>
      <c r="AKG31" s="353"/>
      <c r="AKH31" s="353"/>
      <c r="AKI31" s="353"/>
      <c r="AKJ31" s="353"/>
      <c r="AKK31" s="353"/>
      <c r="AKL31" s="353"/>
      <c r="AKM31" s="353"/>
      <c r="AKN31" s="353"/>
      <c r="AKO31" s="353"/>
      <c r="AKP31" s="353"/>
      <c r="AKQ31" s="353"/>
      <c r="AKR31" s="353"/>
      <c r="AKS31" s="353"/>
      <c r="AKT31" s="353"/>
      <c r="AKU31" s="353"/>
      <c r="AKV31" s="353"/>
      <c r="AKW31" s="353"/>
      <c r="AKX31" s="353"/>
      <c r="AKY31" s="353"/>
      <c r="AKZ31" s="353"/>
      <c r="ALA31" s="353"/>
      <c r="ALB31" s="353"/>
      <c r="ALC31" s="353"/>
      <c r="ALD31" s="353"/>
      <c r="ALE31" s="353"/>
      <c r="ALF31" s="353"/>
      <c r="ALG31" s="353"/>
      <c r="ALH31" s="353"/>
      <c r="ALI31" s="353"/>
      <c r="ALJ31" s="353"/>
      <c r="ALK31" s="353"/>
      <c r="ALL31" s="353"/>
      <c r="ALM31" s="353"/>
      <c r="ALN31" s="353"/>
      <c r="ALO31" s="353"/>
      <c r="ALP31" s="353"/>
      <c r="ALQ31" s="353"/>
      <c r="ALR31" s="353"/>
      <c r="ALS31" s="353"/>
      <c r="ALT31" s="353"/>
      <c r="ALU31" s="353"/>
      <c r="ALV31" s="353"/>
      <c r="ALW31" s="353"/>
      <c r="ALX31" s="353"/>
      <c r="ALY31" s="353"/>
      <c r="ALZ31" s="353"/>
      <c r="AMA31" s="353"/>
      <c r="AMB31" s="353"/>
      <c r="AMC31" s="353"/>
      <c r="AMD31" s="353"/>
      <c r="AME31" s="353"/>
      <c r="AMF31" s="353"/>
      <c r="AMG31" s="353"/>
      <c r="AMH31" s="353"/>
      <c r="AMI31" s="353"/>
      <c r="AMJ31" s="353"/>
      <c r="AMK31" s="353"/>
      <c r="AML31" s="353"/>
      <c r="AMM31" s="353"/>
      <c r="AMN31" s="353"/>
      <c r="AMO31" s="353"/>
      <c r="AMP31" s="353"/>
    </row>
    <row r="32" spans="2:1030" s="354" customFormat="1" ht="12.75" x14ac:dyDescent="0.2">
      <c r="C32" s="347"/>
      <c r="D32" s="347"/>
      <c r="E32" s="300"/>
      <c r="F32" s="300"/>
      <c r="G32" s="300"/>
      <c r="H32" s="347"/>
      <c r="I32" s="347"/>
      <c r="J32" s="347"/>
      <c r="K32" s="347"/>
      <c r="L32" s="347"/>
      <c r="M32" s="347"/>
      <c r="N32" s="347"/>
      <c r="O32" s="347"/>
      <c r="P32" s="347"/>
      <c r="Q32" s="300"/>
      <c r="R32" s="300"/>
      <c r="S32" s="384"/>
      <c r="T32" s="300"/>
      <c r="U32" s="294"/>
      <c r="V32" s="294"/>
      <c r="W32" s="300"/>
      <c r="X32" s="300"/>
      <c r="Y32" s="300"/>
      <c r="Z32" s="300"/>
      <c r="AA32" s="300"/>
      <c r="AB32" s="383"/>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c r="DO32" s="353"/>
      <c r="DP32" s="353"/>
      <c r="DQ32" s="353"/>
      <c r="DR32" s="353"/>
      <c r="DS32" s="353"/>
      <c r="DT32" s="353"/>
      <c r="DU32" s="353"/>
      <c r="DV32" s="353"/>
      <c r="DW32" s="353"/>
      <c r="DX32" s="353"/>
      <c r="DY32" s="353"/>
      <c r="DZ32" s="353"/>
      <c r="EA32" s="353"/>
      <c r="EB32" s="353"/>
      <c r="EC32" s="353"/>
      <c r="ED32" s="353"/>
      <c r="EE32" s="353"/>
      <c r="EF32" s="353"/>
      <c r="EG32" s="353"/>
      <c r="EH32" s="353"/>
      <c r="EI32" s="353"/>
      <c r="EJ32" s="353"/>
      <c r="EK32" s="353"/>
      <c r="EL32" s="353"/>
      <c r="EM32" s="353"/>
      <c r="EN32" s="353"/>
      <c r="EO32" s="353"/>
      <c r="EP32" s="353"/>
      <c r="EQ32" s="353"/>
      <c r="ER32" s="353"/>
      <c r="ES32" s="353"/>
      <c r="ET32" s="353"/>
      <c r="EU32" s="353"/>
      <c r="EV32" s="353"/>
      <c r="EW32" s="353"/>
      <c r="EX32" s="353"/>
      <c r="EY32" s="353"/>
      <c r="EZ32" s="353"/>
      <c r="FA32" s="353"/>
      <c r="FB32" s="353"/>
      <c r="FC32" s="353"/>
      <c r="FD32" s="353"/>
      <c r="FE32" s="353"/>
      <c r="FF32" s="353"/>
      <c r="FG32" s="353"/>
      <c r="FH32" s="353"/>
      <c r="FI32" s="353"/>
      <c r="FJ32" s="353"/>
      <c r="FK32" s="353"/>
      <c r="FL32" s="353"/>
      <c r="FM32" s="353"/>
      <c r="FN32" s="353"/>
      <c r="FO32" s="353"/>
      <c r="FP32" s="353"/>
      <c r="FQ32" s="353"/>
      <c r="FR32" s="353"/>
      <c r="FS32" s="353"/>
      <c r="FT32" s="353"/>
      <c r="FU32" s="353"/>
      <c r="FV32" s="353"/>
      <c r="FW32" s="353"/>
      <c r="FX32" s="353"/>
      <c r="FY32" s="353"/>
      <c r="FZ32" s="353"/>
      <c r="GA32" s="353"/>
      <c r="GB32" s="353"/>
      <c r="GC32" s="353"/>
      <c r="GD32" s="353"/>
      <c r="GE32" s="353"/>
      <c r="GF32" s="353"/>
      <c r="GG32" s="353"/>
      <c r="GH32" s="353"/>
      <c r="GI32" s="353"/>
      <c r="GJ32" s="353"/>
      <c r="GK32" s="353"/>
      <c r="GL32" s="353"/>
      <c r="GM32" s="353"/>
      <c r="GN32" s="353"/>
      <c r="GO32" s="353"/>
      <c r="GP32" s="353"/>
      <c r="GQ32" s="353"/>
      <c r="GR32" s="353"/>
      <c r="GS32" s="353"/>
      <c r="GT32" s="353"/>
      <c r="GU32" s="353"/>
      <c r="GV32" s="353"/>
      <c r="GW32" s="353"/>
      <c r="GX32" s="353"/>
      <c r="GY32" s="353"/>
      <c r="GZ32" s="353"/>
      <c r="HA32" s="353"/>
      <c r="HB32" s="353"/>
      <c r="HC32" s="353"/>
      <c r="HD32" s="353"/>
      <c r="HE32" s="353"/>
      <c r="HF32" s="353"/>
      <c r="HG32" s="353"/>
      <c r="HH32" s="353"/>
      <c r="HI32" s="353"/>
      <c r="HJ32" s="353"/>
      <c r="HK32" s="353"/>
      <c r="HL32" s="353"/>
      <c r="HM32" s="353"/>
      <c r="HN32" s="353"/>
      <c r="HO32" s="353"/>
      <c r="HP32" s="353"/>
      <c r="HQ32" s="353"/>
      <c r="HR32" s="353"/>
      <c r="HS32" s="353"/>
      <c r="HT32" s="353"/>
      <c r="HU32" s="353"/>
      <c r="HV32" s="353"/>
      <c r="HW32" s="353"/>
      <c r="HX32" s="353"/>
      <c r="HY32" s="353"/>
      <c r="HZ32" s="353"/>
      <c r="IA32" s="353"/>
      <c r="IB32" s="353"/>
      <c r="IC32" s="353"/>
      <c r="ID32" s="353"/>
      <c r="IE32" s="353"/>
      <c r="IF32" s="353"/>
      <c r="IG32" s="353"/>
      <c r="IH32" s="353"/>
      <c r="II32" s="353"/>
      <c r="IJ32" s="353"/>
      <c r="IK32" s="353"/>
      <c r="IL32" s="353"/>
      <c r="IM32" s="353"/>
      <c r="IN32" s="353"/>
      <c r="IO32" s="353"/>
      <c r="IP32" s="353"/>
      <c r="IQ32" s="353"/>
      <c r="IR32" s="353"/>
      <c r="IS32" s="353"/>
      <c r="IT32" s="353"/>
      <c r="IU32" s="353"/>
      <c r="IV32" s="353"/>
      <c r="IW32" s="353"/>
      <c r="IX32" s="353"/>
      <c r="IY32" s="353"/>
      <c r="IZ32" s="353"/>
      <c r="JA32" s="353"/>
      <c r="JB32" s="353"/>
      <c r="JC32" s="353"/>
      <c r="JD32" s="353"/>
      <c r="JE32" s="353"/>
      <c r="JF32" s="353"/>
      <c r="JG32" s="353"/>
      <c r="JH32" s="353"/>
      <c r="JI32" s="353"/>
      <c r="JJ32" s="353"/>
      <c r="JK32" s="353"/>
      <c r="JL32" s="353"/>
      <c r="JM32" s="353"/>
      <c r="JN32" s="353"/>
      <c r="JO32" s="353"/>
      <c r="JP32" s="353"/>
      <c r="JQ32" s="353"/>
      <c r="JR32" s="353"/>
      <c r="JS32" s="353"/>
      <c r="JT32" s="353"/>
      <c r="JU32" s="353"/>
      <c r="JV32" s="353"/>
      <c r="JW32" s="353"/>
      <c r="JX32" s="353"/>
      <c r="JY32" s="353"/>
      <c r="JZ32" s="353"/>
      <c r="KA32" s="353"/>
      <c r="KB32" s="353"/>
      <c r="KC32" s="353"/>
      <c r="KD32" s="353"/>
      <c r="KE32" s="353"/>
      <c r="KF32" s="353"/>
      <c r="KG32" s="353"/>
      <c r="KH32" s="353"/>
      <c r="KI32" s="353"/>
      <c r="KJ32" s="353"/>
      <c r="KK32" s="353"/>
      <c r="KL32" s="353"/>
      <c r="KM32" s="353"/>
      <c r="KN32" s="353"/>
      <c r="KO32" s="353"/>
      <c r="KP32" s="353"/>
      <c r="KQ32" s="353"/>
      <c r="KR32" s="353"/>
      <c r="KS32" s="353"/>
      <c r="KT32" s="353"/>
      <c r="KU32" s="353"/>
      <c r="KV32" s="353"/>
      <c r="KW32" s="353"/>
      <c r="KX32" s="353"/>
      <c r="KY32" s="353"/>
      <c r="KZ32" s="353"/>
      <c r="LA32" s="353"/>
      <c r="LB32" s="353"/>
      <c r="LC32" s="353"/>
      <c r="LD32" s="353"/>
      <c r="LE32" s="353"/>
      <c r="LF32" s="353"/>
      <c r="LG32" s="353"/>
      <c r="LH32" s="353"/>
      <c r="LI32" s="353"/>
      <c r="LJ32" s="353"/>
      <c r="LK32" s="353"/>
      <c r="LL32" s="353"/>
      <c r="LM32" s="353"/>
      <c r="LN32" s="353"/>
      <c r="LO32" s="353"/>
      <c r="LP32" s="353"/>
      <c r="LQ32" s="353"/>
      <c r="LR32" s="353"/>
      <c r="LS32" s="353"/>
      <c r="LT32" s="353"/>
      <c r="LU32" s="353"/>
      <c r="LV32" s="353"/>
      <c r="LW32" s="353"/>
      <c r="LX32" s="353"/>
      <c r="LY32" s="353"/>
      <c r="LZ32" s="353"/>
      <c r="MA32" s="353"/>
      <c r="MB32" s="353"/>
      <c r="MC32" s="353"/>
      <c r="MD32" s="353"/>
      <c r="ME32" s="353"/>
      <c r="MF32" s="353"/>
      <c r="MG32" s="353"/>
      <c r="MH32" s="353"/>
      <c r="MI32" s="353"/>
      <c r="MJ32" s="353"/>
      <c r="MK32" s="353"/>
      <c r="ML32" s="353"/>
      <c r="MM32" s="353"/>
      <c r="MN32" s="353"/>
      <c r="MO32" s="353"/>
      <c r="MP32" s="353"/>
      <c r="MQ32" s="353"/>
      <c r="MR32" s="353"/>
      <c r="MS32" s="353"/>
      <c r="MT32" s="353"/>
      <c r="MU32" s="353"/>
      <c r="MV32" s="353"/>
      <c r="MW32" s="353"/>
      <c r="MX32" s="353"/>
      <c r="MY32" s="353"/>
      <c r="MZ32" s="353"/>
      <c r="NA32" s="353"/>
      <c r="NB32" s="353"/>
      <c r="NC32" s="353"/>
      <c r="ND32" s="353"/>
      <c r="NE32" s="353"/>
      <c r="NF32" s="353"/>
      <c r="NG32" s="353"/>
      <c r="NH32" s="353"/>
      <c r="NI32" s="353"/>
      <c r="NJ32" s="353"/>
      <c r="NK32" s="353"/>
      <c r="NL32" s="353"/>
      <c r="NM32" s="353"/>
      <c r="NN32" s="353"/>
      <c r="NO32" s="353"/>
      <c r="NP32" s="353"/>
      <c r="NQ32" s="353"/>
      <c r="NR32" s="353"/>
      <c r="NS32" s="353"/>
      <c r="NT32" s="353"/>
      <c r="NU32" s="353"/>
      <c r="NV32" s="353"/>
      <c r="NW32" s="353"/>
      <c r="NX32" s="353"/>
      <c r="NY32" s="353"/>
      <c r="NZ32" s="353"/>
      <c r="OA32" s="353"/>
      <c r="OB32" s="353"/>
      <c r="OC32" s="353"/>
      <c r="OD32" s="353"/>
      <c r="OE32" s="353"/>
      <c r="OF32" s="353"/>
      <c r="OG32" s="353"/>
      <c r="OH32" s="353"/>
      <c r="OI32" s="353"/>
      <c r="OJ32" s="353"/>
      <c r="OK32" s="353"/>
      <c r="OL32" s="353"/>
      <c r="OM32" s="353"/>
      <c r="ON32" s="353"/>
      <c r="OO32" s="353"/>
      <c r="OP32" s="353"/>
      <c r="OQ32" s="353"/>
      <c r="OR32" s="353"/>
      <c r="OS32" s="353"/>
      <c r="OT32" s="353"/>
      <c r="OU32" s="353"/>
      <c r="OV32" s="353"/>
      <c r="OW32" s="353"/>
      <c r="OX32" s="353"/>
      <c r="OY32" s="353"/>
      <c r="OZ32" s="353"/>
      <c r="PA32" s="353"/>
      <c r="PB32" s="353"/>
      <c r="PC32" s="353"/>
      <c r="PD32" s="353"/>
      <c r="PE32" s="353"/>
      <c r="PF32" s="353"/>
      <c r="PG32" s="353"/>
      <c r="PH32" s="353"/>
      <c r="PI32" s="353"/>
      <c r="PJ32" s="353"/>
      <c r="PK32" s="353"/>
      <c r="PL32" s="353"/>
      <c r="PM32" s="353"/>
      <c r="PN32" s="353"/>
      <c r="PO32" s="353"/>
      <c r="PP32" s="353"/>
      <c r="PQ32" s="353"/>
      <c r="PR32" s="353"/>
      <c r="PS32" s="353"/>
      <c r="PT32" s="353"/>
      <c r="PU32" s="353"/>
      <c r="PV32" s="353"/>
      <c r="PW32" s="353"/>
      <c r="PX32" s="353"/>
      <c r="PY32" s="353"/>
      <c r="PZ32" s="353"/>
      <c r="QA32" s="353"/>
      <c r="QB32" s="353"/>
      <c r="QC32" s="353"/>
      <c r="QD32" s="353"/>
      <c r="QE32" s="353"/>
      <c r="QF32" s="353"/>
      <c r="QG32" s="353"/>
      <c r="QH32" s="353"/>
      <c r="QI32" s="353"/>
      <c r="QJ32" s="353"/>
      <c r="QK32" s="353"/>
      <c r="QL32" s="353"/>
      <c r="QM32" s="353"/>
      <c r="QN32" s="353"/>
      <c r="QO32" s="353"/>
      <c r="QP32" s="353"/>
      <c r="QQ32" s="353"/>
      <c r="QR32" s="353"/>
      <c r="QS32" s="353"/>
      <c r="QT32" s="353"/>
      <c r="QU32" s="353"/>
      <c r="QV32" s="353"/>
      <c r="QW32" s="353"/>
      <c r="QX32" s="353"/>
      <c r="QY32" s="353"/>
      <c r="QZ32" s="353"/>
      <c r="RA32" s="353"/>
      <c r="RB32" s="353"/>
      <c r="RC32" s="353"/>
      <c r="RD32" s="353"/>
      <c r="RE32" s="353"/>
      <c r="RF32" s="353"/>
      <c r="RG32" s="353"/>
      <c r="RH32" s="353"/>
      <c r="RI32" s="353"/>
      <c r="RJ32" s="353"/>
      <c r="RK32" s="353"/>
      <c r="RL32" s="353"/>
      <c r="RM32" s="353"/>
      <c r="RN32" s="353"/>
      <c r="RO32" s="353"/>
      <c r="RP32" s="353"/>
      <c r="RQ32" s="353"/>
      <c r="RR32" s="353"/>
      <c r="RS32" s="353"/>
      <c r="RT32" s="353"/>
      <c r="RU32" s="353"/>
      <c r="RV32" s="353"/>
      <c r="RW32" s="353"/>
      <c r="RX32" s="353"/>
      <c r="RY32" s="353"/>
      <c r="RZ32" s="353"/>
      <c r="SA32" s="353"/>
      <c r="SB32" s="353"/>
      <c r="SC32" s="353"/>
      <c r="SD32" s="353"/>
      <c r="SE32" s="353"/>
      <c r="SF32" s="353"/>
      <c r="SG32" s="353"/>
      <c r="SH32" s="353"/>
      <c r="SI32" s="353"/>
      <c r="SJ32" s="353"/>
      <c r="SK32" s="353"/>
      <c r="SL32" s="353"/>
      <c r="SM32" s="353"/>
      <c r="SN32" s="353"/>
      <c r="SO32" s="353"/>
      <c r="SP32" s="353"/>
      <c r="SQ32" s="353"/>
      <c r="SR32" s="353"/>
      <c r="SS32" s="353"/>
      <c r="ST32" s="353"/>
      <c r="SU32" s="353"/>
      <c r="SV32" s="353"/>
      <c r="SW32" s="353"/>
      <c r="SX32" s="353"/>
      <c r="SY32" s="353"/>
      <c r="SZ32" s="353"/>
      <c r="TA32" s="353"/>
      <c r="TB32" s="353"/>
      <c r="TC32" s="353"/>
      <c r="TD32" s="353"/>
      <c r="TE32" s="353"/>
      <c r="TF32" s="353"/>
      <c r="TG32" s="353"/>
      <c r="TH32" s="353"/>
      <c r="TI32" s="353"/>
      <c r="TJ32" s="353"/>
      <c r="TK32" s="353"/>
      <c r="TL32" s="353"/>
      <c r="TM32" s="353"/>
      <c r="TN32" s="353"/>
      <c r="TO32" s="353"/>
      <c r="TP32" s="353"/>
      <c r="TQ32" s="353"/>
      <c r="TR32" s="353"/>
      <c r="TS32" s="353"/>
      <c r="TT32" s="353"/>
      <c r="TU32" s="353"/>
      <c r="TV32" s="353"/>
      <c r="TW32" s="353"/>
      <c r="TX32" s="353"/>
      <c r="TY32" s="353"/>
      <c r="TZ32" s="353"/>
      <c r="UA32" s="353"/>
      <c r="UB32" s="353"/>
      <c r="UC32" s="353"/>
      <c r="UD32" s="353"/>
      <c r="UE32" s="353"/>
      <c r="UF32" s="353"/>
      <c r="UG32" s="353"/>
      <c r="UH32" s="353"/>
      <c r="UI32" s="353"/>
      <c r="UJ32" s="353"/>
      <c r="UK32" s="353"/>
      <c r="UL32" s="353"/>
      <c r="UM32" s="353"/>
      <c r="UN32" s="353"/>
      <c r="UO32" s="353"/>
      <c r="UP32" s="353"/>
      <c r="UQ32" s="353"/>
      <c r="UR32" s="353"/>
      <c r="US32" s="353"/>
      <c r="UT32" s="353"/>
      <c r="UU32" s="353"/>
      <c r="UV32" s="353"/>
      <c r="UW32" s="353"/>
      <c r="UX32" s="353"/>
      <c r="UY32" s="353"/>
      <c r="UZ32" s="353"/>
      <c r="VA32" s="353"/>
      <c r="VB32" s="353"/>
      <c r="VC32" s="353"/>
      <c r="VD32" s="353"/>
      <c r="VE32" s="353"/>
      <c r="VF32" s="353"/>
      <c r="VG32" s="353"/>
      <c r="VH32" s="353"/>
      <c r="VI32" s="353"/>
      <c r="VJ32" s="353"/>
      <c r="VK32" s="353"/>
      <c r="VL32" s="353"/>
      <c r="VM32" s="353"/>
      <c r="VN32" s="353"/>
      <c r="VO32" s="353"/>
      <c r="VP32" s="353"/>
      <c r="VQ32" s="353"/>
      <c r="VR32" s="353"/>
      <c r="VS32" s="353"/>
      <c r="VT32" s="353"/>
      <c r="VU32" s="353"/>
      <c r="VV32" s="353"/>
      <c r="VW32" s="353"/>
      <c r="VX32" s="353"/>
      <c r="VY32" s="353"/>
      <c r="VZ32" s="353"/>
      <c r="WA32" s="353"/>
      <c r="WB32" s="353"/>
      <c r="WC32" s="353"/>
      <c r="WD32" s="353"/>
      <c r="WE32" s="353"/>
      <c r="WF32" s="353"/>
      <c r="WG32" s="353"/>
      <c r="WH32" s="353"/>
      <c r="WI32" s="353"/>
      <c r="WJ32" s="353"/>
      <c r="WK32" s="353"/>
      <c r="WL32" s="353"/>
      <c r="WM32" s="353"/>
      <c r="WN32" s="353"/>
      <c r="WO32" s="353"/>
      <c r="WP32" s="353"/>
      <c r="WQ32" s="353"/>
      <c r="WR32" s="353"/>
      <c r="WS32" s="353"/>
      <c r="WT32" s="353"/>
      <c r="WU32" s="353"/>
      <c r="WV32" s="353"/>
      <c r="WW32" s="353"/>
      <c r="WX32" s="353"/>
      <c r="WY32" s="353"/>
      <c r="WZ32" s="353"/>
      <c r="XA32" s="353"/>
      <c r="XB32" s="353"/>
      <c r="XC32" s="353"/>
      <c r="XD32" s="353"/>
      <c r="XE32" s="353"/>
      <c r="XF32" s="353"/>
      <c r="XG32" s="353"/>
      <c r="XH32" s="353"/>
      <c r="XI32" s="353"/>
      <c r="XJ32" s="353"/>
      <c r="XK32" s="353"/>
      <c r="XL32" s="353"/>
      <c r="XM32" s="353"/>
      <c r="XN32" s="353"/>
      <c r="XO32" s="353"/>
      <c r="XP32" s="353"/>
      <c r="XQ32" s="353"/>
      <c r="XR32" s="353"/>
      <c r="XS32" s="353"/>
      <c r="XT32" s="353"/>
      <c r="XU32" s="353"/>
      <c r="XV32" s="353"/>
      <c r="XW32" s="353"/>
      <c r="XX32" s="353"/>
      <c r="XY32" s="353"/>
      <c r="XZ32" s="353"/>
      <c r="YA32" s="353"/>
      <c r="YB32" s="353"/>
      <c r="YC32" s="353"/>
      <c r="YD32" s="353"/>
      <c r="YE32" s="353"/>
      <c r="YF32" s="353"/>
      <c r="YG32" s="353"/>
      <c r="YH32" s="353"/>
      <c r="YI32" s="353"/>
      <c r="YJ32" s="353"/>
      <c r="YK32" s="353"/>
      <c r="YL32" s="353"/>
      <c r="YM32" s="353"/>
      <c r="YN32" s="353"/>
      <c r="YO32" s="353"/>
      <c r="YP32" s="353"/>
      <c r="YQ32" s="353"/>
      <c r="YR32" s="353"/>
      <c r="YS32" s="353"/>
      <c r="YT32" s="353"/>
      <c r="YU32" s="353"/>
      <c r="YV32" s="353"/>
      <c r="YW32" s="353"/>
      <c r="YX32" s="353"/>
      <c r="YY32" s="353"/>
      <c r="YZ32" s="353"/>
      <c r="ZA32" s="353"/>
      <c r="ZB32" s="353"/>
      <c r="ZC32" s="353"/>
      <c r="ZD32" s="353"/>
      <c r="ZE32" s="353"/>
      <c r="ZF32" s="353"/>
      <c r="ZG32" s="353"/>
      <c r="ZH32" s="353"/>
      <c r="ZI32" s="353"/>
      <c r="ZJ32" s="353"/>
      <c r="ZK32" s="353"/>
      <c r="ZL32" s="353"/>
      <c r="ZM32" s="353"/>
      <c r="ZN32" s="353"/>
      <c r="ZO32" s="353"/>
      <c r="ZP32" s="353"/>
      <c r="ZQ32" s="353"/>
      <c r="ZR32" s="353"/>
      <c r="ZS32" s="353"/>
      <c r="ZT32" s="353"/>
      <c r="ZU32" s="353"/>
      <c r="ZV32" s="353"/>
      <c r="ZW32" s="353"/>
      <c r="ZX32" s="353"/>
      <c r="ZY32" s="353"/>
      <c r="ZZ32" s="353"/>
      <c r="AAA32" s="353"/>
      <c r="AAB32" s="353"/>
      <c r="AAC32" s="353"/>
      <c r="AAD32" s="353"/>
      <c r="AAE32" s="353"/>
      <c r="AAF32" s="353"/>
      <c r="AAG32" s="353"/>
      <c r="AAH32" s="353"/>
      <c r="AAI32" s="353"/>
      <c r="AAJ32" s="353"/>
      <c r="AAK32" s="353"/>
      <c r="AAL32" s="353"/>
      <c r="AAM32" s="353"/>
      <c r="AAN32" s="353"/>
      <c r="AAO32" s="353"/>
      <c r="AAP32" s="353"/>
      <c r="AAQ32" s="353"/>
      <c r="AAR32" s="353"/>
      <c r="AAS32" s="353"/>
      <c r="AAT32" s="353"/>
      <c r="AAU32" s="353"/>
      <c r="AAV32" s="353"/>
      <c r="AAW32" s="353"/>
      <c r="AAX32" s="353"/>
      <c r="AAY32" s="353"/>
      <c r="AAZ32" s="353"/>
      <c r="ABA32" s="353"/>
      <c r="ABB32" s="353"/>
      <c r="ABC32" s="353"/>
      <c r="ABD32" s="353"/>
      <c r="ABE32" s="353"/>
      <c r="ABF32" s="353"/>
      <c r="ABG32" s="353"/>
      <c r="ABH32" s="353"/>
      <c r="ABI32" s="353"/>
      <c r="ABJ32" s="353"/>
      <c r="ABK32" s="353"/>
      <c r="ABL32" s="353"/>
      <c r="ABM32" s="353"/>
      <c r="ABN32" s="353"/>
      <c r="ABO32" s="353"/>
      <c r="ABP32" s="353"/>
      <c r="ABQ32" s="353"/>
      <c r="ABR32" s="353"/>
      <c r="ABS32" s="353"/>
      <c r="ABT32" s="353"/>
      <c r="ABU32" s="353"/>
      <c r="ABV32" s="353"/>
      <c r="ABW32" s="353"/>
      <c r="ABX32" s="353"/>
      <c r="ABY32" s="353"/>
      <c r="ABZ32" s="353"/>
      <c r="ACA32" s="353"/>
      <c r="ACB32" s="353"/>
      <c r="ACC32" s="353"/>
      <c r="ACD32" s="353"/>
      <c r="ACE32" s="353"/>
      <c r="ACF32" s="353"/>
      <c r="ACG32" s="353"/>
      <c r="ACH32" s="353"/>
      <c r="ACI32" s="353"/>
      <c r="ACJ32" s="353"/>
      <c r="ACK32" s="353"/>
      <c r="ACL32" s="353"/>
      <c r="ACM32" s="353"/>
      <c r="ACN32" s="353"/>
      <c r="ACO32" s="353"/>
      <c r="ACP32" s="353"/>
      <c r="ACQ32" s="353"/>
      <c r="ACR32" s="353"/>
      <c r="ACS32" s="353"/>
      <c r="ACT32" s="353"/>
      <c r="ACU32" s="353"/>
      <c r="ACV32" s="353"/>
      <c r="ACW32" s="353"/>
      <c r="ACX32" s="353"/>
      <c r="ACY32" s="353"/>
      <c r="ACZ32" s="353"/>
      <c r="ADA32" s="353"/>
      <c r="ADB32" s="353"/>
      <c r="ADC32" s="353"/>
      <c r="ADD32" s="353"/>
      <c r="ADE32" s="353"/>
      <c r="ADF32" s="353"/>
      <c r="ADG32" s="353"/>
      <c r="ADH32" s="353"/>
      <c r="ADI32" s="353"/>
      <c r="ADJ32" s="353"/>
      <c r="ADK32" s="353"/>
      <c r="ADL32" s="353"/>
      <c r="ADM32" s="353"/>
      <c r="ADN32" s="353"/>
      <c r="ADO32" s="353"/>
      <c r="ADP32" s="353"/>
      <c r="ADQ32" s="353"/>
      <c r="ADR32" s="353"/>
      <c r="ADS32" s="353"/>
      <c r="ADT32" s="353"/>
      <c r="ADU32" s="353"/>
      <c r="ADV32" s="353"/>
      <c r="ADW32" s="353"/>
      <c r="ADX32" s="353"/>
      <c r="ADY32" s="353"/>
      <c r="ADZ32" s="353"/>
      <c r="AEA32" s="353"/>
      <c r="AEB32" s="353"/>
      <c r="AEC32" s="353"/>
      <c r="AED32" s="353"/>
      <c r="AEE32" s="353"/>
      <c r="AEF32" s="353"/>
      <c r="AEG32" s="353"/>
      <c r="AEH32" s="353"/>
      <c r="AEI32" s="353"/>
      <c r="AEJ32" s="353"/>
      <c r="AEK32" s="353"/>
      <c r="AEL32" s="353"/>
      <c r="AEM32" s="353"/>
      <c r="AEN32" s="353"/>
      <c r="AEO32" s="353"/>
      <c r="AEP32" s="353"/>
      <c r="AEQ32" s="353"/>
      <c r="AER32" s="353"/>
      <c r="AES32" s="353"/>
      <c r="AET32" s="353"/>
      <c r="AEU32" s="353"/>
      <c r="AEV32" s="353"/>
      <c r="AEW32" s="353"/>
      <c r="AEX32" s="353"/>
      <c r="AEY32" s="353"/>
      <c r="AEZ32" s="353"/>
      <c r="AFA32" s="353"/>
      <c r="AFB32" s="353"/>
      <c r="AFC32" s="353"/>
      <c r="AFD32" s="353"/>
      <c r="AFE32" s="353"/>
      <c r="AFF32" s="353"/>
      <c r="AFG32" s="353"/>
      <c r="AFH32" s="353"/>
      <c r="AFI32" s="353"/>
      <c r="AFJ32" s="353"/>
      <c r="AFK32" s="353"/>
      <c r="AFL32" s="353"/>
      <c r="AFM32" s="353"/>
      <c r="AFN32" s="353"/>
      <c r="AFO32" s="353"/>
      <c r="AFP32" s="353"/>
      <c r="AFQ32" s="353"/>
      <c r="AFR32" s="353"/>
      <c r="AFS32" s="353"/>
      <c r="AFT32" s="353"/>
      <c r="AFU32" s="353"/>
      <c r="AFV32" s="353"/>
      <c r="AFW32" s="353"/>
      <c r="AFX32" s="353"/>
      <c r="AFY32" s="353"/>
      <c r="AFZ32" s="353"/>
      <c r="AGA32" s="353"/>
      <c r="AGB32" s="353"/>
      <c r="AGC32" s="353"/>
      <c r="AGD32" s="353"/>
      <c r="AGE32" s="353"/>
      <c r="AGF32" s="353"/>
      <c r="AGG32" s="353"/>
      <c r="AGH32" s="353"/>
      <c r="AGI32" s="353"/>
      <c r="AGJ32" s="353"/>
      <c r="AGK32" s="353"/>
      <c r="AGL32" s="353"/>
      <c r="AGM32" s="353"/>
      <c r="AGN32" s="353"/>
      <c r="AGO32" s="353"/>
      <c r="AGP32" s="353"/>
      <c r="AGQ32" s="353"/>
      <c r="AGR32" s="353"/>
      <c r="AGS32" s="353"/>
      <c r="AGT32" s="353"/>
      <c r="AGU32" s="353"/>
      <c r="AGV32" s="353"/>
      <c r="AGW32" s="353"/>
      <c r="AGX32" s="353"/>
      <c r="AGY32" s="353"/>
      <c r="AGZ32" s="353"/>
      <c r="AHA32" s="353"/>
      <c r="AHB32" s="353"/>
      <c r="AHC32" s="353"/>
      <c r="AHD32" s="353"/>
      <c r="AHE32" s="353"/>
      <c r="AHF32" s="353"/>
      <c r="AHG32" s="353"/>
      <c r="AHH32" s="353"/>
      <c r="AHI32" s="353"/>
      <c r="AHJ32" s="353"/>
      <c r="AHK32" s="353"/>
      <c r="AHL32" s="353"/>
      <c r="AHM32" s="353"/>
      <c r="AHN32" s="353"/>
      <c r="AHO32" s="353"/>
      <c r="AHP32" s="353"/>
      <c r="AHQ32" s="353"/>
      <c r="AHR32" s="353"/>
      <c r="AHS32" s="353"/>
      <c r="AHT32" s="353"/>
      <c r="AHU32" s="353"/>
      <c r="AHV32" s="353"/>
      <c r="AHW32" s="353"/>
      <c r="AHX32" s="353"/>
      <c r="AHY32" s="353"/>
      <c r="AHZ32" s="353"/>
      <c r="AIA32" s="353"/>
      <c r="AIB32" s="353"/>
      <c r="AIC32" s="353"/>
      <c r="AID32" s="353"/>
      <c r="AIE32" s="353"/>
      <c r="AIF32" s="353"/>
      <c r="AIG32" s="353"/>
      <c r="AIH32" s="353"/>
      <c r="AII32" s="353"/>
      <c r="AIJ32" s="353"/>
      <c r="AIK32" s="353"/>
      <c r="AIL32" s="353"/>
      <c r="AIM32" s="353"/>
      <c r="AIN32" s="353"/>
      <c r="AIO32" s="353"/>
      <c r="AIP32" s="353"/>
      <c r="AIQ32" s="353"/>
      <c r="AIR32" s="353"/>
      <c r="AIS32" s="353"/>
      <c r="AIT32" s="353"/>
      <c r="AIU32" s="353"/>
      <c r="AIV32" s="353"/>
      <c r="AIW32" s="353"/>
      <c r="AIX32" s="353"/>
      <c r="AIY32" s="353"/>
      <c r="AIZ32" s="353"/>
      <c r="AJA32" s="353"/>
      <c r="AJB32" s="353"/>
      <c r="AJC32" s="353"/>
      <c r="AJD32" s="353"/>
      <c r="AJE32" s="353"/>
      <c r="AJF32" s="353"/>
      <c r="AJG32" s="353"/>
      <c r="AJH32" s="353"/>
      <c r="AJI32" s="353"/>
      <c r="AJJ32" s="353"/>
      <c r="AJK32" s="353"/>
      <c r="AJL32" s="353"/>
      <c r="AJM32" s="353"/>
      <c r="AJN32" s="353"/>
      <c r="AJO32" s="353"/>
      <c r="AJP32" s="353"/>
      <c r="AJQ32" s="353"/>
      <c r="AJR32" s="353"/>
      <c r="AJS32" s="353"/>
      <c r="AJT32" s="353"/>
      <c r="AJU32" s="353"/>
      <c r="AJV32" s="353"/>
      <c r="AJW32" s="353"/>
      <c r="AJX32" s="353"/>
      <c r="AJY32" s="353"/>
      <c r="AJZ32" s="353"/>
      <c r="AKA32" s="353"/>
      <c r="AKB32" s="353"/>
      <c r="AKC32" s="353"/>
      <c r="AKD32" s="353"/>
      <c r="AKE32" s="353"/>
      <c r="AKF32" s="353"/>
      <c r="AKG32" s="353"/>
      <c r="AKH32" s="353"/>
      <c r="AKI32" s="353"/>
      <c r="AKJ32" s="353"/>
      <c r="AKK32" s="353"/>
      <c r="AKL32" s="353"/>
      <c r="AKM32" s="353"/>
      <c r="AKN32" s="353"/>
      <c r="AKO32" s="353"/>
      <c r="AKP32" s="353"/>
      <c r="AKQ32" s="353"/>
      <c r="AKR32" s="353"/>
      <c r="AKS32" s="353"/>
      <c r="AKT32" s="353"/>
      <c r="AKU32" s="353"/>
      <c r="AKV32" s="353"/>
      <c r="AKW32" s="353"/>
      <c r="AKX32" s="353"/>
      <c r="AKY32" s="353"/>
      <c r="AKZ32" s="353"/>
      <c r="ALA32" s="353"/>
      <c r="ALB32" s="353"/>
      <c r="ALC32" s="353"/>
      <c r="ALD32" s="353"/>
      <c r="ALE32" s="353"/>
      <c r="ALF32" s="353"/>
      <c r="ALG32" s="353"/>
      <c r="ALH32" s="353"/>
      <c r="ALI32" s="353"/>
      <c r="ALJ32" s="353"/>
      <c r="ALK32" s="353"/>
      <c r="ALL32" s="353"/>
      <c r="ALM32" s="353"/>
      <c r="ALN32" s="353"/>
      <c r="ALO32" s="353"/>
      <c r="ALP32" s="353"/>
      <c r="ALQ32" s="353"/>
      <c r="ALR32" s="353"/>
      <c r="ALS32" s="353"/>
      <c r="ALT32" s="353"/>
      <c r="ALU32" s="353"/>
      <c r="ALV32" s="353"/>
      <c r="ALW32" s="353"/>
      <c r="ALX32" s="353"/>
      <c r="ALY32" s="353"/>
      <c r="ALZ32" s="353"/>
      <c r="AMA32" s="353"/>
      <c r="AMB32" s="353"/>
      <c r="AMC32" s="353"/>
      <c r="AMD32" s="353"/>
      <c r="AME32" s="353"/>
      <c r="AMF32" s="353"/>
      <c r="AMG32" s="353"/>
      <c r="AMH32" s="353"/>
      <c r="AMI32" s="353"/>
      <c r="AMJ32" s="353"/>
      <c r="AMK32" s="353"/>
      <c r="AML32" s="353"/>
      <c r="AMM32" s="353"/>
      <c r="AMN32" s="353"/>
      <c r="AMO32" s="353"/>
      <c r="AMP32" s="353"/>
    </row>
  </sheetData>
  <autoFilter ref="A13:AMV13" xr:uid="{00000000-0001-0000-0100-000000000000}"/>
  <mergeCells count="7">
    <mergeCell ref="J4:K4"/>
    <mergeCell ref="L4:M4"/>
    <mergeCell ref="I5:K5"/>
    <mergeCell ref="C6:C7"/>
    <mergeCell ref="I6:K6"/>
    <mergeCell ref="I7:K7"/>
    <mergeCell ref="L7:M7"/>
  </mergeCells>
  <conditionalFormatting sqref="C14:D31">
    <cfRule type="expression" dxfId="59" priority="15">
      <formula>C14:C23&lt;&gt;#REF!</formula>
    </cfRule>
  </conditionalFormatting>
  <conditionalFormatting sqref="AC14:AC31 U31:AA31 Y14 U14:V30 Y15:AA30 C14:T31">
    <cfRule type="expression" dxfId="58" priority="14">
      <formula>MOD(ROW(),2)=0</formula>
    </cfRule>
  </conditionalFormatting>
  <conditionalFormatting sqref="B14:B31">
    <cfRule type="expression" dxfId="57" priority="7">
      <formula>MOD(ROW(),2)=0</formula>
    </cfRule>
  </conditionalFormatting>
  <conditionalFormatting sqref="B16">
    <cfRule type="expression" dxfId="56" priority="8">
      <formula>B16:B24&lt;&gt;#REF!</formula>
    </cfRule>
  </conditionalFormatting>
  <conditionalFormatting sqref="B14:B31">
    <cfRule type="expression" dxfId="55" priority="9">
      <formula>B14:B23&lt;&gt;#REF!</formula>
    </cfRule>
  </conditionalFormatting>
  <conditionalFormatting sqref="B23">
    <cfRule type="expression" dxfId="54" priority="10">
      <formula>A23:A39&lt;&gt;#REF!</formula>
    </cfRule>
  </conditionalFormatting>
  <conditionalFormatting sqref="B22:B31">
    <cfRule type="expression" dxfId="53" priority="11">
      <formula>A22:A38&lt;&gt;#REF!</formula>
    </cfRule>
  </conditionalFormatting>
  <conditionalFormatting sqref="B16:B31">
    <cfRule type="expression" dxfId="52" priority="12">
      <formula>A16:A25&lt;&gt;#REF!</formula>
    </cfRule>
  </conditionalFormatting>
  <conditionalFormatting sqref="B17:B31">
    <cfRule type="expression" dxfId="51" priority="13">
      <formula>A17:A34&lt;&gt;#REF!</formula>
    </cfRule>
  </conditionalFormatting>
  <conditionalFormatting sqref="AD14:AG31">
    <cfRule type="expression" dxfId="50" priority="5">
      <formula>MOD(ROW(),2)=0</formula>
    </cfRule>
  </conditionalFormatting>
  <conditionalFormatting sqref="AF14:AF31">
    <cfRule type="expression" dxfId="49" priority="4">
      <formula>MOD(ROW(),2)=0</formula>
    </cfRule>
  </conditionalFormatting>
  <conditionalFormatting sqref="Z14:AA14">
    <cfRule type="expression" dxfId="48" priority="6">
      <formula>MOD(ROW(),2)=0</formula>
    </cfRule>
  </conditionalFormatting>
  <conditionalFormatting sqref="AG14:AG31">
    <cfRule type="expression" dxfId="47" priority="3">
      <formula>MOD(ROW(),2)=0</formula>
    </cfRule>
  </conditionalFormatting>
  <conditionalFormatting sqref="AE14:AE31">
    <cfRule type="expression" dxfId="46" priority="2">
      <formula>MOD(ROW(),2)=0</formula>
    </cfRule>
  </conditionalFormatting>
  <conditionalFormatting sqref="W14:X30">
    <cfRule type="expression" dxfId="45" priority="1">
      <formula>MOD(ROW(),2)=0</formula>
    </cfRule>
  </conditionalFormatting>
  <printOptions horizontalCentered="1"/>
  <pageMargins left="0.2" right="0.2" top="0.5" bottom="0.5" header="0.51180555555555496" footer="0.3"/>
  <pageSetup firstPageNumber="0" orientation="landscape" horizontalDpi="300" verticalDpi="300" r:id="rId1"/>
  <headerFooter>
    <oddFooter>&amp;LTexas Health and Human Services Commission&amp;RApril 27, 2015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05FB1-37F5-4C8D-A106-59863C380205}">
  <sheetPr codeName="Sheet15">
    <tabColor theme="4" tint="-0.249977111117893"/>
  </sheetPr>
  <dimension ref="A1:DA242"/>
  <sheetViews>
    <sheetView showGridLines="0" zoomScale="80" zoomScaleNormal="80" workbookViewId="0">
      <selection activeCell="BT15" sqref="BT15"/>
    </sheetView>
  </sheetViews>
  <sheetFormatPr defaultColWidth="9.42578125" defaultRowHeight="15" x14ac:dyDescent="0.25"/>
  <cols>
    <col min="1" max="1" width="6.5703125" customWidth="1"/>
    <col min="2" max="2" width="11.7109375" customWidth="1"/>
    <col min="3" max="3" width="25.5703125" customWidth="1"/>
    <col min="4" max="4" width="22.5703125" customWidth="1"/>
    <col min="5" max="5" width="25.85546875" customWidth="1"/>
    <col min="6" max="6" width="41.140625" customWidth="1"/>
    <col min="7" max="7" width="36.42578125" customWidth="1"/>
    <col min="8" max="8" width="25.85546875" customWidth="1"/>
    <col min="10" max="10" width="22.28515625" customWidth="1"/>
    <col min="11" max="11" width="13.5703125" customWidth="1"/>
    <col min="12" max="13" width="16.85546875" customWidth="1"/>
    <col min="14" max="14" width="13" customWidth="1"/>
    <col min="15" max="15" width="23.85546875" customWidth="1"/>
    <col min="16" max="16" width="24.5703125" customWidth="1"/>
    <col min="17" max="17" width="22.140625" customWidth="1"/>
    <col min="18" max="22" width="18.5703125" customWidth="1"/>
    <col min="23" max="23" width="19.140625" customWidth="1"/>
    <col min="24" max="24" width="17.42578125" customWidth="1"/>
    <col min="25" max="25" width="18.85546875" customWidth="1"/>
    <col min="26" max="26" width="20.5703125" customWidth="1"/>
    <col min="27" max="27" width="17.42578125" customWidth="1"/>
    <col min="28" max="28" width="16.42578125" customWidth="1"/>
    <col min="29" max="34" width="18.5703125" customWidth="1"/>
    <col min="35" max="35" width="18.28515625" customWidth="1"/>
    <col min="36" max="36" width="25.28515625" customWidth="1"/>
    <col min="37" max="37" width="14.85546875" customWidth="1"/>
    <col min="38" max="38" width="22.42578125" customWidth="1"/>
    <col min="39" max="39" width="16.42578125" customWidth="1"/>
    <col min="40" max="40" width="16" customWidth="1"/>
    <col min="41" max="41" width="15.85546875" customWidth="1"/>
    <col min="42" max="42" width="16.140625" customWidth="1"/>
    <col min="43" max="43" width="17.42578125" customWidth="1"/>
    <col min="44" max="44" width="20.42578125" customWidth="1"/>
    <col min="45" max="45" width="16" customWidth="1"/>
    <col min="46" max="46" width="16.42578125" customWidth="1"/>
    <col min="47" max="47" width="18" customWidth="1"/>
    <col min="48" max="48" width="17.5703125" customWidth="1"/>
    <col min="49" max="49" width="16" customWidth="1"/>
    <col min="50" max="50" width="20.42578125" customWidth="1"/>
    <col min="51" max="51" width="17.42578125" customWidth="1"/>
    <col min="52" max="52" width="19.5703125" customWidth="1"/>
    <col min="53" max="53" width="41.140625" customWidth="1"/>
    <col min="54" max="54" width="12.140625" customWidth="1"/>
    <col min="55" max="55" width="16" customWidth="1"/>
    <col min="56" max="56" width="17" customWidth="1"/>
    <col min="57" max="57" width="19.140625" customWidth="1"/>
    <col min="58" max="58" width="24" customWidth="1"/>
    <col min="59" max="59" width="19.42578125" customWidth="1"/>
    <col min="60" max="60" width="15.5703125" customWidth="1"/>
    <col min="61" max="61" width="16" customWidth="1"/>
    <col min="62" max="62" width="19.5703125" customWidth="1"/>
    <col min="63" max="63" width="17.42578125" customWidth="1"/>
    <col min="64" max="64" width="20.28515625" customWidth="1"/>
    <col min="65" max="65" width="14.5703125" customWidth="1"/>
    <col min="66" max="66" width="29.7109375" customWidth="1"/>
    <col min="67" max="67" width="19.140625" customWidth="1"/>
    <col min="68" max="68" width="19.7109375" customWidth="1"/>
    <col min="69" max="69" width="22.85546875" customWidth="1"/>
    <col min="70" max="70" width="16.85546875" customWidth="1"/>
    <col min="71" max="71" width="9.42578125" customWidth="1"/>
    <col min="72" max="72" width="40.7109375" customWidth="1"/>
    <col min="73" max="74" width="24.140625" customWidth="1"/>
    <col min="75" max="75" width="16.42578125" customWidth="1"/>
    <col min="76" max="86" width="17.7109375" customWidth="1"/>
    <col min="87" max="87" width="21.140625" customWidth="1"/>
    <col min="88" max="88" width="13.42578125" customWidth="1"/>
    <col min="89" max="89" width="9.42578125" customWidth="1"/>
    <col min="90" max="90" width="15.42578125" bestFit="1" customWidth="1"/>
    <col min="91" max="92" width="9.42578125" customWidth="1"/>
    <col min="93" max="93" width="8" customWidth="1"/>
    <col min="94" max="94" width="24.28515625" customWidth="1"/>
    <col min="95" max="95" width="16.42578125" customWidth="1"/>
    <col min="100" max="100" width="16.7109375" customWidth="1"/>
    <col min="103" max="103" width="14.42578125" customWidth="1"/>
    <col min="104" max="104" width="15.85546875" bestFit="1" customWidth="1"/>
    <col min="105" max="975" width="9.42578125" customWidth="1"/>
    <col min="976" max="976" width="11.5703125" customWidth="1"/>
  </cols>
  <sheetData>
    <row r="1" spans="1:105" s="3" customFormat="1" ht="21" x14ac:dyDescent="0.35">
      <c r="A1" s="337" t="s">
        <v>319</v>
      </c>
      <c r="B1" s="337"/>
      <c r="C1" s="416" t="s">
        <v>233</v>
      </c>
      <c r="D1" s="339" t="s">
        <v>233</v>
      </c>
      <c r="E1" s="416" t="s">
        <v>233</v>
      </c>
      <c r="F1" s="339" t="s">
        <v>234</v>
      </c>
      <c r="G1" s="339" t="s">
        <v>234</v>
      </c>
      <c r="H1" s="339" t="s">
        <v>234</v>
      </c>
      <c r="I1" s="339" t="s">
        <v>234</v>
      </c>
      <c r="J1" s="339" t="s">
        <v>234</v>
      </c>
      <c r="K1" s="339" t="s">
        <v>234</v>
      </c>
      <c r="L1" s="339" t="s">
        <v>234</v>
      </c>
      <c r="M1" s="339"/>
      <c r="N1" s="339"/>
      <c r="O1" s="339" t="s">
        <v>234</v>
      </c>
      <c r="P1" s="339" t="s">
        <v>234</v>
      </c>
      <c r="Q1" s="339" t="s">
        <v>234</v>
      </c>
      <c r="R1" s="417"/>
      <c r="S1" s="417"/>
      <c r="T1" s="417"/>
      <c r="U1" s="418"/>
      <c r="V1" s="417"/>
      <c r="W1" s="339" t="s">
        <v>234</v>
      </c>
      <c r="X1" s="339" t="s">
        <v>234</v>
      </c>
      <c r="Y1" s="339" t="s">
        <v>234</v>
      </c>
      <c r="Z1" s="339"/>
      <c r="AA1" s="339"/>
      <c r="AB1" s="339"/>
      <c r="AC1" s="417"/>
      <c r="AD1" s="417"/>
      <c r="AE1" s="417"/>
      <c r="AF1" s="417"/>
      <c r="AG1" s="417"/>
      <c r="AH1" s="417"/>
      <c r="AM1" s="339"/>
      <c r="AN1" s="339"/>
      <c r="AO1" s="339"/>
      <c r="AP1" s="339"/>
      <c r="AQ1" s="339"/>
      <c r="AR1" s="339"/>
      <c r="AS1" s="339"/>
      <c r="AT1" s="339"/>
      <c r="AU1" s="339"/>
      <c r="AV1" s="339"/>
      <c r="AW1" s="339"/>
      <c r="AX1" s="339"/>
      <c r="AY1" s="339"/>
      <c r="AZ1" s="339"/>
      <c r="BA1" s="339"/>
      <c r="BB1" s="339"/>
      <c r="BC1" s="339"/>
      <c r="BD1" s="339"/>
      <c r="BE1" s="339"/>
      <c r="BF1" s="339"/>
      <c r="BG1" s="339" t="s">
        <v>234</v>
      </c>
      <c r="BH1" s="339" t="s">
        <v>234</v>
      </c>
      <c r="BI1" s="339"/>
      <c r="BJ1" s="339"/>
      <c r="BK1" s="339"/>
      <c r="BL1" s="339"/>
      <c r="BM1" s="339"/>
      <c r="BN1" s="339"/>
      <c r="BO1" s="339"/>
      <c r="BP1" s="339"/>
      <c r="BQ1" s="339"/>
      <c r="BR1" s="339"/>
      <c r="BS1" s="339"/>
      <c r="BW1" s="339"/>
      <c r="BX1" s="339"/>
      <c r="BY1" s="339"/>
      <c r="BZ1" s="339"/>
      <c r="CA1" s="339"/>
      <c r="CB1" s="339"/>
      <c r="CC1" s="339"/>
      <c r="CD1" s="339"/>
      <c r="CE1" s="339"/>
      <c r="CF1" s="339"/>
      <c r="CG1" s="339"/>
      <c r="CH1" s="339"/>
      <c r="CI1" s="339"/>
    </row>
    <row r="2" spans="1:105" s="6" customFormat="1" ht="1.5" customHeight="1" x14ac:dyDescent="0.3">
      <c r="A2" s="4"/>
      <c r="B2" s="4"/>
      <c r="C2" s="419"/>
      <c r="D2" s="419"/>
      <c r="E2" s="419"/>
      <c r="R2" s="420"/>
      <c r="S2" s="420"/>
      <c r="T2" s="420"/>
      <c r="U2" s="421"/>
      <c r="V2" s="420"/>
      <c r="AC2" s="420"/>
      <c r="AD2" s="420"/>
      <c r="AE2" s="420"/>
      <c r="AF2" s="420"/>
      <c r="AG2" s="420"/>
      <c r="AH2" s="420"/>
    </row>
    <row r="3" spans="1:105" s="12" customFormat="1" ht="15" customHeight="1" x14ac:dyDescent="0.25">
      <c r="A3" s="340" t="s">
        <v>320</v>
      </c>
      <c r="B3" s="340"/>
      <c r="C3" s="9"/>
      <c r="D3" s="9"/>
      <c r="E3" s="9"/>
      <c r="F3" s="223"/>
      <c r="Q3" s="422"/>
      <c r="R3" s="423"/>
      <c r="S3" s="423"/>
      <c r="T3" s="423"/>
      <c r="U3" s="424"/>
      <c r="V3" s="423"/>
      <c r="AB3" s="425"/>
      <c r="AC3" s="423"/>
      <c r="AD3" s="426" t="s">
        <v>321</v>
      </c>
      <c r="AE3" s="427">
        <f>SUMIF($L$16:$L$300,"Yes",$AE$16:$AE$300)</f>
        <v>30539546.164877445</v>
      </c>
      <c r="AF3" s="423"/>
      <c r="AG3" s="423"/>
      <c r="AH3" s="427"/>
      <c r="AI3" s="428"/>
      <c r="AJ3" s="429"/>
      <c r="AK3" s="430" t="s">
        <v>322</v>
      </c>
      <c r="AL3" s="431">
        <v>0.61396643099147674</v>
      </c>
      <c r="AN3" s="432"/>
      <c r="AQ3" s="432"/>
      <c r="AR3" s="433"/>
      <c r="AS3" s="434">
        <f>(AR5+AR8)/Federal_Match_Rate*State_Match_Rate</f>
        <v>243417425.59133157</v>
      </c>
      <c r="AT3" s="73">
        <f>AR7/Federal_Match_Rate*State_Match_Rate</f>
        <v>362067553.24399501</v>
      </c>
      <c r="AU3" s="435">
        <f>Total_Remaining_Funds_for_Non_State_Pass_1_and_2</f>
        <v>1723555304.6430645</v>
      </c>
      <c r="AV3" s="425"/>
      <c r="AW3" s="436"/>
      <c r="AX3" s="437" t="s">
        <v>323</v>
      </c>
      <c r="AY3" s="438">
        <f>SUMIF(I:I,"Private",AY:AY)</f>
        <v>3.1634832551991777E-9</v>
      </c>
      <c r="AZ3" s="439" t="s">
        <v>324</v>
      </c>
      <c r="BA3" s="439"/>
      <c r="BB3" s="439"/>
      <c r="BC3" s="439"/>
      <c r="BD3" s="439"/>
      <c r="BE3" s="439"/>
      <c r="BF3" s="439"/>
      <c r="BG3" s="440"/>
      <c r="BH3" s="441"/>
      <c r="BI3" s="437" t="s">
        <v>325</v>
      </c>
      <c r="BJ3" s="442">
        <f>SUMIF(BJ16:BJ238,"&gt;0",BJ16:BJ238)</f>
        <v>1723555305.4900002</v>
      </c>
      <c r="BK3" s="443">
        <f>Total_Remaining_Funds_for_Non_State_Pass_1_and_2-BG9-BJ9</f>
        <v>-0.84693527221679688</v>
      </c>
      <c r="BL3" s="444" t="s">
        <v>326</v>
      </c>
      <c r="BM3" s="445" t="s">
        <v>327</v>
      </c>
      <c r="BN3" s="442">
        <v>0</v>
      </c>
      <c r="BO3" s="446" t="s">
        <v>328</v>
      </c>
      <c r="BP3" s="447">
        <f>State_Remaining_Funds_for_NonState_Pass_1_and_2-BH9-BO9+BN9</f>
        <v>-0.48691296577453613</v>
      </c>
      <c r="BQ3" s="448" t="s">
        <v>329</v>
      </c>
      <c r="BR3" s="442">
        <f>SUMIF(I:I,"Private",BP:BP)</f>
        <v>234873221.78688896</v>
      </c>
      <c r="BS3" s="445"/>
      <c r="BT3" s="430" t="s">
        <v>330</v>
      </c>
      <c r="BU3" s="431">
        <v>1</v>
      </c>
      <c r="BV3" s="449" t="s">
        <v>330</v>
      </c>
      <c r="BW3" s="450">
        <v>1</v>
      </c>
      <c r="BX3" s="451"/>
      <c r="BY3" s="451"/>
      <c r="BZ3" s="451"/>
      <c r="CA3" s="451"/>
      <c r="CB3" s="448"/>
      <c r="CC3" s="451"/>
      <c r="CD3" s="451"/>
      <c r="CE3" s="451"/>
      <c r="CF3" s="451"/>
      <c r="CG3" s="448"/>
      <c r="CH3" s="452"/>
      <c r="CI3" s="448"/>
      <c r="CJ3" s="445">
        <v>0.87384649999999997</v>
      </c>
      <c r="CK3" s="448"/>
      <c r="CL3" s="448"/>
      <c r="CM3" s="445"/>
      <c r="CN3" s="445"/>
      <c r="CV3" s="453"/>
      <c r="CY3" s="428"/>
      <c r="CZ3" s="454"/>
    </row>
    <row r="4" spans="1:105" ht="16.5" thickBot="1" x14ac:dyDescent="0.3">
      <c r="A4" s="7"/>
      <c r="B4" s="7"/>
      <c r="C4" s="72"/>
      <c r="D4" s="72"/>
      <c r="E4" s="72"/>
      <c r="G4" s="455" t="s">
        <v>236</v>
      </c>
      <c r="I4" s="456" t="s">
        <v>237</v>
      </c>
      <c r="J4" s="436"/>
      <c r="K4" s="436"/>
      <c r="L4" s="436"/>
      <c r="M4" s="436"/>
      <c r="N4" s="436"/>
      <c r="O4" s="457"/>
      <c r="P4" s="457"/>
      <c r="Q4" s="457"/>
      <c r="R4" s="457"/>
      <c r="S4" s="457"/>
      <c r="T4" s="457"/>
      <c r="U4" s="457"/>
      <c r="V4" s="457"/>
      <c r="W4" s="457"/>
      <c r="X4" s="458">
        <f>536503007</f>
        <v>536503007</v>
      </c>
      <c r="Y4" s="459">
        <f>X4*State_Match_Rate</f>
        <v>188473506.35909998</v>
      </c>
      <c r="Z4" s="457"/>
      <c r="AA4" s="457"/>
      <c r="AB4" s="457"/>
      <c r="AC4" s="457"/>
      <c r="AD4" s="460"/>
      <c r="AE4" s="457"/>
      <c r="AF4" s="457"/>
      <c r="AG4" s="435"/>
      <c r="AH4" s="461"/>
      <c r="AI4" s="428"/>
      <c r="AJ4" s="428"/>
      <c r="AK4" s="462" t="s">
        <v>331</v>
      </c>
      <c r="AL4" s="463">
        <f>'Assumption Inputs'!M19</f>
        <v>1118070326.2699776</v>
      </c>
      <c r="AM4" s="464">
        <f>AL4-AE9</f>
        <v>346079246.56779575</v>
      </c>
      <c r="AN4" s="458">
        <f>AL4-AM9</f>
        <v>-0.43220424652099609</v>
      </c>
      <c r="AO4" s="458">
        <f>AN4+AM4</f>
        <v>346079246.13559151</v>
      </c>
      <c r="AP4" s="457"/>
      <c r="AQ4" s="459"/>
      <c r="AR4" s="457"/>
      <c r="AS4" s="465"/>
      <c r="AT4" s="457"/>
      <c r="AU4" s="454">
        <f>AU3-AU9</f>
        <v>-0.89444375038146973</v>
      </c>
      <c r="AV4" s="457"/>
      <c r="AW4" s="457"/>
      <c r="AX4" s="457"/>
      <c r="AY4" s="457"/>
      <c r="AZ4" s="466">
        <f>SUMIF(L:L,"Yes",AZ:AZ)</f>
        <v>30539546.164877445</v>
      </c>
      <c r="BA4" s="457"/>
      <c r="BC4" s="457"/>
      <c r="BD4" s="457"/>
      <c r="BE4" s="457"/>
      <c r="BF4" s="457"/>
      <c r="BG4" s="457"/>
      <c r="BH4" s="457"/>
      <c r="BI4" s="457"/>
      <c r="BJ4" s="457"/>
      <c r="BK4" s="459"/>
      <c r="BL4" s="457"/>
      <c r="BM4" s="457"/>
      <c r="BN4" s="457"/>
      <c r="BO4" s="457"/>
      <c r="BP4" s="457"/>
      <c r="BQ4" s="457"/>
      <c r="BR4" s="457"/>
      <c r="BS4" s="467"/>
      <c r="BT4" s="468" t="s">
        <v>332</v>
      </c>
      <c r="BU4" s="469">
        <f>Pass_3_Set_Aside</f>
        <v>50124491.049914561</v>
      </c>
      <c r="BV4" s="463" t="s">
        <v>333</v>
      </c>
      <c r="BW4" s="470">
        <f>Pass_3_Set_Aside-'Non-State'!BU9</f>
        <v>50124491.049914561</v>
      </c>
      <c r="BX4" s="471"/>
      <c r="BY4" s="472"/>
      <c r="BZ4" s="472"/>
      <c r="CA4" s="472"/>
      <c r="CB4" s="472"/>
      <c r="CC4" s="471"/>
      <c r="CD4" s="472"/>
      <c r="CE4" s="472" t="s">
        <v>334</v>
      </c>
      <c r="CF4" s="473">
        <v>0.5</v>
      </c>
      <c r="CG4" s="472"/>
      <c r="CH4" s="474">
        <f>CA9+AZ9</f>
        <v>1723555305.5375082</v>
      </c>
      <c r="CI4" s="475"/>
      <c r="CK4" s="476"/>
      <c r="CL4" s="476">
        <f>1458929905-483275930</f>
        <v>975653975</v>
      </c>
      <c r="CP4" s="475"/>
      <c r="CQ4" s="477"/>
      <c r="CV4" s="428"/>
      <c r="CY4" s="428"/>
      <c r="CZ4" s="454"/>
    </row>
    <row r="5" spans="1:105" ht="19.5" customHeight="1" thickBot="1" x14ac:dyDescent="0.35">
      <c r="A5" s="13" t="s">
        <v>5</v>
      </c>
      <c r="C5" s="72"/>
      <c r="D5" s="72"/>
      <c r="E5" s="348" t="s">
        <v>2</v>
      </c>
      <c r="G5" s="736" t="s">
        <v>335</v>
      </c>
      <c r="H5" s="736"/>
      <c r="I5" s="478">
        <f>COUNTIF(H12:H1000,"Class 1 (TH)")</f>
        <v>5</v>
      </c>
      <c r="J5" s="479"/>
      <c r="K5" s="479"/>
      <c r="L5" s="479"/>
      <c r="M5" s="479"/>
      <c r="N5" s="480"/>
      <c r="O5" s="481">
        <f>SUMIF($H:$H,"Class 1 (TH)",O:O)</f>
        <v>298370</v>
      </c>
      <c r="P5" s="481">
        <f>SUMIF($H:$H,"Class 1 (TH)",P:P)</f>
        <v>999284</v>
      </c>
      <c r="Q5" s="482"/>
      <c r="R5" s="483">
        <f>SUMIF($H:$H,"Class 1 (TH)",R:R)</f>
        <v>548864.35612491169</v>
      </c>
      <c r="S5" s="483">
        <f>SUMIF($H:$H,"Class 1 (TH)",S:S)</f>
        <v>847234.35612491181</v>
      </c>
      <c r="T5" s="483">
        <f>SUMIF($H:$H,"Class 1 (TH)",T:T)</f>
        <v>847234.35612491181</v>
      </c>
      <c r="U5" s="484"/>
      <c r="V5" s="485">
        <f t="shared" ref="V5:AB5" si="0">SUMIF($H:$H,"Class 1 (TH)",V:V)</f>
        <v>0</v>
      </c>
      <c r="W5" s="479">
        <f t="shared" si="0"/>
        <v>1694767190.7100794</v>
      </c>
      <c r="X5" s="479">
        <f t="shared" si="0"/>
        <v>0</v>
      </c>
      <c r="Y5" s="479">
        <f t="shared" si="0"/>
        <v>1504743549.2637568</v>
      </c>
      <c r="Z5" s="479">
        <f t="shared" si="0"/>
        <v>0</v>
      </c>
      <c r="AA5" s="479">
        <f t="shared" si="0"/>
        <v>1694767190.7100794</v>
      </c>
      <c r="AB5" s="479">
        <f t="shared" si="0"/>
        <v>0.99999999999999978</v>
      </c>
      <c r="AC5" s="486"/>
      <c r="AD5" s="486"/>
      <c r="AE5" s="487">
        <f t="shared" ref="AE5:BR5" si="1">SUMIF($H:$H,"Class 1 (TH)",AE:AE)</f>
        <v>69057991.140131354</v>
      </c>
      <c r="AF5" s="487">
        <f t="shared" si="1"/>
        <v>37397984.102864407</v>
      </c>
      <c r="AG5" s="487">
        <f t="shared" si="1"/>
        <v>318752967.26285863</v>
      </c>
      <c r="AH5" s="488">
        <f t="shared" si="1"/>
        <v>106455975.24299577</v>
      </c>
      <c r="AI5" s="489">
        <f t="shared" si="1"/>
        <v>3694566655.0835862</v>
      </c>
      <c r="AJ5" s="479">
        <f t="shared" si="1"/>
        <v>2106255439.6165032</v>
      </c>
      <c r="AK5" s="479">
        <f t="shared" si="1"/>
        <v>2.7781810410558823</v>
      </c>
      <c r="AL5" s="490">
        <f t="shared" si="1"/>
        <v>262473593.26102909</v>
      </c>
      <c r="AM5" s="479">
        <f t="shared" si="1"/>
        <v>331531584.40116042</v>
      </c>
      <c r="AN5" s="479">
        <f t="shared" si="1"/>
        <v>331531584.40116042</v>
      </c>
      <c r="AO5" s="479">
        <f t="shared" si="1"/>
        <v>0</v>
      </c>
      <c r="AP5" s="479">
        <f t="shared" si="1"/>
        <v>1363235606.3089187</v>
      </c>
      <c r="AQ5" s="479">
        <f t="shared" si="1"/>
        <v>0</v>
      </c>
      <c r="AR5" s="485">
        <f t="shared" si="1"/>
        <v>331531584.40116042</v>
      </c>
      <c r="AS5" s="479">
        <f t="shared" si="1"/>
        <v>179539148.45094439</v>
      </c>
      <c r="AT5" s="479">
        <f t="shared" si="1"/>
        <v>362067553.24399501</v>
      </c>
      <c r="AU5" s="479">
        <f t="shared" si="1"/>
        <v>873138286.09609973</v>
      </c>
      <c r="AV5" s="479">
        <f t="shared" si="1"/>
        <v>873138286.09609973</v>
      </c>
      <c r="AW5" s="479">
        <f t="shared" si="1"/>
        <v>0</v>
      </c>
      <c r="AX5" s="479">
        <f t="shared" si="1"/>
        <v>821628904.61397958</v>
      </c>
      <c r="AY5" s="479">
        <f t="shared" si="1"/>
        <v>1.6165952880188442E-9</v>
      </c>
      <c r="AZ5" s="479">
        <f t="shared" si="1"/>
        <v>873138286.09609973</v>
      </c>
      <c r="BA5" s="479">
        <f t="shared" si="1"/>
        <v>0</v>
      </c>
      <c r="BB5" s="479">
        <f t="shared" si="1"/>
        <v>5.6790992468101996E-10</v>
      </c>
      <c r="BC5" s="479">
        <f t="shared" si="1"/>
        <v>1.1113316675514709E-9</v>
      </c>
      <c r="BD5" s="479">
        <f t="shared" si="1"/>
        <v>541606701.69493937</v>
      </c>
      <c r="BE5" s="479">
        <f t="shared" si="1"/>
        <v>821628904.61397958</v>
      </c>
      <c r="BF5" s="479">
        <f t="shared" si="1"/>
        <v>331531584.40116042</v>
      </c>
      <c r="BG5" s="479">
        <f t="shared" si="1"/>
        <v>0</v>
      </c>
      <c r="BH5" s="479">
        <f t="shared" si="1"/>
        <v>0</v>
      </c>
      <c r="BI5" s="479">
        <f t="shared" si="1"/>
        <v>0</v>
      </c>
      <c r="BJ5" s="479">
        <f t="shared" si="1"/>
        <v>873138286.08999991</v>
      </c>
      <c r="BK5" s="479">
        <f t="shared" si="1"/>
        <v>306733479.90341693</v>
      </c>
      <c r="BL5" s="479">
        <f t="shared" si="1"/>
        <v>873138286.08999991</v>
      </c>
      <c r="BM5" s="479">
        <f t="shared" si="1"/>
        <v>0</v>
      </c>
      <c r="BN5" s="479">
        <f t="shared" si="1"/>
        <v>0</v>
      </c>
      <c r="BO5" s="479">
        <f t="shared" si="1"/>
        <v>541606701.68999994</v>
      </c>
      <c r="BP5" s="479">
        <f t="shared" si="1"/>
        <v>306733479.90341693</v>
      </c>
      <c r="BQ5" s="479">
        <f t="shared" si="1"/>
        <v>234873221.7868889</v>
      </c>
      <c r="BR5" s="479">
        <f t="shared" si="1"/>
        <v>541606701.68999994</v>
      </c>
      <c r="BS5" s="73"/>
      <c r="BT5" s="489">
        <f>SUMIF($H:$H,"Class 1 (TH)",BT:BT)</f>
        <v>5</v>
      </c>
      <c r="BU5" s="490">
        <f>SUMIF($H:$H,"Class 1 (TH)",BU:BU)</f>
        <v>0</v>
      </c>
      <c r="BV5" s="479"/>
      <c r="BW5" s="489">
        <f t="shared" ref="BW5:CH5" si="2">SUMIF($H:$H,"Class 1 (TH)",BW:BW)</f>
        <v>0</v>
      </c>
      <c r="BX5" s="489">
        <f t="shared" si="2"/>
        <v>0</v>
      </c>
      <c r="BY5" s="479">
        <f t="shared" si="2"/>
        <v>0</v>
      </c>
      <c r="BZ5" s="479">
        <f t="shared" si="2"/>
        <v>0</v>
      </c>
      <c r="CA5" s="479">
        <f t="shared" si="2"/>
        <v>0</v>
      </c>
      <c r="CB5" s="479">
        <f t="shared" si="2"/>
        <v>0</v>
      </c>
      <c r="CC5" s="489">
        <f t="shared" si="2"/>
        <v>0</v>
      </c>
      <c r="CD5" s="479">
        <f t="shared" si="2"/>
        <v>0</v>
      </c>
      <c r="CE5" s="479">
        <f t="shared" si="2"/>
        <v>0</v>
      </c>
      <c r="CF5" s="479">
        <f t="shared" si="2"/>
        <v>0</v>
      </c>
      <c r="CG5" s="479">
        <f t="shared" si="2"/>
        <v>8804366.8518128544</v>
      </c>
      <c r="CH5" s="490">
        <f t="shared" si="2"/>
        <v>881942652.94181287</v>
      </c>
      <c r="CI5" s="491"/>
      <c r="CK5" s="492"/>
      <c r="CL5" s="492"/>
      <c r="CP5" s="475"/>
      <c r="CQ5" s="477"/>
      <c r="CV5" s="732"/>
      <c r="CY5" s="493"/>
      <c r="CZ5" s="454"/>
    </row>
    <row r="6" spans="1:105" x14ac:dyDescent="0.25">
      <c r="C6" s="72"/>
      <c r="D6" s="72"/>
      <c r="E6" s="356" t="s">
        <v>241</v>
      </c>
      <c r="G6" s="737" t="s">
        <v>336</v>
      </c>
      <c r="H6" s="737"/>
      <c r="I6" s="494">
        <f>COUNTIF(H12:H1000,"Class 2")</f>
        <v>0</v>
      </c>
      <c r="J6" s="495"/>
      <c r="K6" s="495"/>
      <c r="L6" s="495"/>
      <c r="M6" s="495"/>
      <c r="N6" s="496"/>
      <c r="O6" s="497">
        <f>SUMIF($H:$H,"Class 2",O:O)</f>
        <v>0</v>
      </c>
      <c r="P6" s="497">
        <f>SUMIF($H:$H,"Class 2",P:P)</f>
        <v>0</v>
      </c>
      <c r="Q6" s="498"/>
      <c r="R6" s="499">
        <f>SUMIF($H:$H,"Class 2",R:R)</f>
        <v>0</v>
      </c>
      <c r="S6" s="499">
        <f>SUMIF($H:$H,"Class 2",S:S)</f>
        <v>0</v>
      </c>
      <c r="T6" s="499">
        <f>SUMIF($H:$H,"Class 2",T:T)</f>
        <v>0</v>
      </c>
      <c r="U6" s="500"/>
      <c r="V6" s="501">
        <f t="shared" ref="V6:AB6" si="3">SUMIF($H:$H,"Class 2",V:V)</f>
        <v>0</v>
      </c>
      <c r="W6" s="495">
        <f t="shared" si="3"/>
        <v>0</v>
      </c>
      <c r="X6" s="495">
        <f t="shared" si="3"/>
        <v>0</v>
      </c>
      <c r="Y6" s="495">
        <f t="shared" si="3"/>
        <v>0</v>
      </c>
      <c r="Z6" s="495">
        <f t="shared" si="3"/>
        <v>0</v>
      </c>
      <c r="AA6" s="495">
        <f t="shared" si="3"/>
        <v>0</v>
      </c>
      <c r="AB6" s="495">
        <f t="shared" si="3"/>
        <v>0</v>
      </c>
      <c r="AC6" s="502"/>
      <c r="AD6" s="502"/>
      <c r="AE6" s="503">
        <f t="shared" ref="AE6:BR6" si="4">SUMIF($H:$H,"Class 2",AE:AE)</f>
        <v>0</v>
      </c>
      <c r="AF6" s="503">
        <f t="shared" si="4"/>
        <v>0</v>
      </c>
      <c r="AG6" s="503">
        <f t="shared" si="4"/>
        <v>0</v>
      </c>
      <c r="AH6" s="504">
        <f t="shared" si="4"/>
        <v>0</v>
      </c>
      <c r="AI6" s="505">
        <f t="shared" si="4"/>
        <v>0</v>
      </c>
      <c r="AJ6" s="495">
        <f t="shared" si="4"/>
        <v>0</v>
      </c>
      <c r="AK6" s="495">
        <f t="shared" si="4"/>
        <v>0</v>
      </c>
      <c r="AL6" s="506">
        <f t="shared" si="4"/>
        <v>0</v>
      </c>
      <c r="AM6" s="495">
        <f t="shared" si="4"/>
        <v>0</v>
      </c>
      <c r="AN6" s="495">
        <f t="shared" si="4"/>
        <v>0</v>
      </c>
      <c r="AO6" s="495">
        <f t="shared" si="4"/>
        <v>0</v>
      </c>
      <c r="AP6" s="495">
        <f t="shared" si="4"/>
        <v>0</v>
      </c>
      <c r="AQ6" s="495">
        <f t="shared" si="4"/>
        <v>0</v>
      </c>
      <c r="AR6" s="501">
        <f t="shared" si="4"/>
        <v>0</v>
      </c>
      <c r="AS6" s="495">
        <f t="shared" si="4"/>
        <v>0</v>
      </c>
      <c r="AT6" s="495">
        <f t="shared" si="4"/>
        <v>0</v>
      </c>
      <c r="AU6" s="495">
        <f t="shared" si="4"/>
        <v>0</v>
      </c>
      <c r="AV6" s="495">
        <f t="shared" si="4"/>
        <v>0</v>
      </c>
      <c r="AW6" s="495">
        <f t="shared" si="4"/>
        <v>0</v>
      </c>
      <c r="AX6" s="495">
        <f t="shared" si="4"/>
        <v>0</v>
      </c>
      <c r="AY6" s="495">
        <f t="shared" si="4"/>
        <v>0</v>
      </c>
      <c r="AZ6" s="495">
        <f t="shared" si="4"/>
        <v>0</v>
      </c>
      <c r="BA6" s="495">
        <f t="shared" si="4"/>
        <v>0</v>
      </c>
      <c r="BB6" s="495">
        <f t="shared" si="4"/>
        <v>0</v>
      </c>
      <c r="BC6" s="495">
        <f t="shared" si="4"/>
        <v>0</v>
      </c>
      <c r="BD6" s="495">
        <f t="shared" si="4"/>
        <v>0</v>
      </c>
      <c r="BE6" s="495">
        <f t="shared" si="4"/>
        <v>0</v>
      </c>
      <c r="BF6" s="495">
        <f t="shared" si="4"/>
        <v>0</v>
      </c>
      <c r="BG6" s="495">
        <f t="shared" si="4"/>
        <v>0</v>
      </c>
      <c r="BH6" s="495">
        <f t="shared" si="4"/>
        <v>0</v>
      </c>
      <c r="BI6" s="495">
        <f t="shared" si="4"/>
        <v>0</v>
      </c>
      <c r="BJ6" s="495">
        <f t="shared" si="4"/>
        <v>0</v>
      </c>
      <c r="BK6" s="495">
        <f t="shared" si="4"/>
        <v>0</v>
      </c>
      <c r="BL6" s="495">
        <f t="shared" si="4"/>
        <v>0</v>
      </c>
      <c r="BM6" s="495">
        <f t="shared" si="4"/>
        <v>0</v>
      </c>
      <c r="BN6" s="495">
        <f t="shared" si="4"/>
        <v>0</v>
      </c>
      <c r="BO6" s="495">
        <f t="shared" si="4"/>
        <v>0</v>
      </c>
      <c r="BP6" s="495">
        <f t="shared" si="4"/>
        <v>0</v>
      </c>
      <c r="BQ6" s="495">
        <f t="shared" si="4"/>
        <v>0</v>
      </c>
      <c r="BR6" s="495">
        <f t="shared" si="4"/>
        <v>0</v>
      </c>
      <c r="BS6" s="73"/>
      <c r="BT6" s="505">
        <f>SUMIF($H:$H,"Class 2",BT:BT)</f>
        <v>0</v>
      </c>
      <c r="BU6" s="506">
        <f>SUMIF($H:$H,"Class 2",BU:BU)</f>
        <v>0</v>
      </c>
      <c r="BV6" s="495"/>
      <c r="BW6" s="505">
        <f t="shared" ref="BW6:CH6" si="5">SUMIF($H:$H,"Class 2",BW:BW)</f>
        <v>0</v>
      </c>
      <c r="BX6" s="505">
        <f t="shared" si="5"/>
        <v>0</v>
      </c>
      <c r="BY6" s="495">
        <f t="shared" si="5"/>
        <v>0</v>
      </c>
      <c r="BZ6" s="495">
        <f t="shared" si="5"/>
        <v>0</v>
      </c>
      <c r="CA6" s="495">
        <f t="shared" si="5"/>
        <v>0</v>
      </c>
      <c r="CB6" s="495">
        <f t="shared" si="5"/>
        <v>0</v>
      </c>
      <c r="CC6" s="505">
        <f t="shared" si="5"/>
        <v>0</v>
      </c>
      <c r="CD6" s="495">
        <f t="shared" si="5"/>
        <v>0</v>
      </c>
      <c r="CE6" s="495">
        <f t="shared" si="5"/>
        <v>0</v>
      </c>
      <c r="CF6" s="495">
        <f t="shared" si="5"/>
        <v>0</v>
      </c>
      <c r="CG6" s="495">
        <f t="shared" si="5"/>
        <v>0</v>
      </c>
      <c r="CH6" s="506">
        <f t="shared" si="5"/>
        <v>0</v>
      </c>
      <c r="CI6" s="491"/>
      <c r="CK6" s="492"/>
      <c r="CL6" s="492"/>
      <c r="CP6" s="475"/>
      <c r="CQ6" s="477"/>
      <c r="CV6" s="732"/>
      <c r="CY6" s="493"/>
      <c r="CZ6" s="454"/>
    </row>
    <row r="7" spans="1:105" x14ac:dyDescent="0.25">
      <c r="A7" s="354"/>
      <c r="C7" s="507" t="s">
        <v>337</v>
      </c>
      <c r="D7" s="72"/>
      <c r="E7" s="361" t="s">
        <v>243</v>
      </c>
      <c r="G7" s="737" t="s">
        <v>338</v>
      </c>
      <c r="H7" s="737"/>
      <c r="I7" s="494">
        <f>COUNTIFS(H12:H1000,"All Others",I12:I1000,"Private")</f>
        <v>111</v>
      </c>
      <c r="J7" s="508"/>
      <c r="K7" s="508"/>
      <c r="L7" s="508"/>
      <c r="M7" s="508"/>
      <c r="N7" s="496"/>
      <c r="O7" s="497">
        <f>SUMIFS(O:O,$H:$H,"All Others",$I:$I,"Private")</f>
        <v>1582982.8145833334</v>
      </c>
      <c r="P7" s="497">
        <f>SUMIFS(P:P,$H:$H,"All Others",$I:$I,"Private")</f>
        <v>8066057</v>
      </c>
      <c r="Q7" s="497"/>
      <c r="R7" s="497">
        <f>SUMIFS(R:R,$H:$H,"All Others",$I:$I,"Private")</f>
        <v>1574521.6278326313</v>
      </c>
      <c r="S7" s="497">
        <f>SUMIFS(S:S,$H:$H,"All Others",$I:$I,"Private")</f>
        <v>3157504.4424159625</v>
      </c>
      <c r="T7" s="497">
        <f>SUMIFS(T:T,$H:$H,"All Others",$I:$I,"Private")</f>
        <v>3157504.4424159625</v>
      </c>
      <c r="U7" s="500"/>
      <c r="V7" s="501">
        <f t="shared" ref="V7:AB7" si="6">SUMIFS(V:V,$H:$H,"All Others",$I:$I,"Private")</f>
        <v>0</v>
      </c>
      <c r="W7" s="495">
        <f t="shared" si="6"/>
        <v>2276412346.5984297</v>
      </c>
      <c r="X7" s="495">
        <f t="shared" si="6"/>
        <v>0</v>
      </c>
      <c r="Y7" s="495">
        <f t="shared" si="6"/>
        <v>1321379891.6731739</v>
      </c>
      <c r="Z7" s="495">
        <f t="shared" si="6"/>
        <v>0</v>
      </c>
      <c r="AA7" s="495">
        <f t="shared" si="6"/>
        <v>2276412346.5984297</v>
      </c>
      <c r="AB7" s="495">
        <f t="shared" si="6"/>
        <v>0</v>
      </c>
      <c r="AC7" s="502"/>
      <c r="AD7" s="502"/>
      <c r="AE7" s="503">
        <f t="shared" ref="AE7:BR7" si="7">SUMIFS(AE:AE,$H:$H,"All Others",$I:$I,"Private")</f>
        <v>588599629.55712068</v>
      </c>
      <c r="AF7" s="503">
        <f t="shared" si="7"/>
        <v>0</v>
      </c>
      <c r="AG7" s="503">
        <f t="shared" si="7"/>
        <v>0</v>
      </c>
      <c r="AH7" s="504">
        <f t="shared" si="7"/>
        <v>588599629.55712068</v>
      </c>
      <c r="AI7" s="505">
        <f t="shared" si="7"/>
        <v>7924414639.4200659</v>
      </c>
      <c r="AJ7" s="495">
        <f t="shared" si="7"/>
        <v>6236601922.3787556</v>
      </c>
      <c r="AK7" s="495">
        <f t="shared" si="7"/>
        <v>92.808795180281265</v>
      </c>
      <c r="AL7" s="506">
        <f t="shared" si="7"/>
        <v>79983409.979969218</v>
      </c>
      <c r="AM7" s="495">
        <f t="shared" si="7"/>
        <v>668583039.53708971</v>
      </c>
      <c r="AN7" s="495">
        <f t="shared" si="7"/>
        <v>668583039.53708971</v>
      </c>
      <c r="AO7" s="495">
        <f t="shared" si="7"/>
        <v>0</v>
      </c>
      <c r="AP7" s="495">
        <f t="shared" si="7"/>
        <v>1607829307.0613408</v>
      </c>
      <c r="AQ7" s="495">
        <f t="shared" si="7"/>
        <v>0</v>
      </c>
      <c r="AR7" s="501">
        <f t="shared" si="7"/>
        <v>668583039.53708971</v>
      </c>
      <c r="AS7" s="495">
        <f t="shared" si="7"/>
        <v>0</v>
      </c>
      <c r="AT7" s="495">
        <f t="shared" si="7"/>
        <v>0</v>
      </c>
      <c r="AU7" s="495">
        <f t="shared" si="7"/>
        <v>668583039.53708971</v>
      </c>
      <c r="AV7" s="495">
        <f t="shared" si="7"/>
        <v>668583039.53708971</v>
      </c>
      <c r="AW7" s="495">
        <f t="shared" si="7"/>
        <v>0</v>
      </c>
      <c r="AX7" s="495">
        <f t="shared" si="7"/>
        <v>1607829307.0613408</v>
      </c>
      <c r="AY7" s="495">
        <f t="shared" si="7"/>
        <v>3.1634832551991777E-9</v>
      </c>
      <c r="AZ7" s="495">
        <f t="shared" si="7"/>
        <v>668583039.53708971</v>
      </c>
      <c r="BA7" s="495">
        <f t="shared" si="7"/>
        <v>0</v>
      </c>
      <c r="BB7" s="495">
        <f t="shared" si="7"/>
        <v>0</v>
      </c>
      <c r="BC7" s="495">
        <f t="shared" si="7"/>
        <v>0</v>
      </c>
      <c r="BD7" s="495">
        <f t="shared" si="7"/>
        <v>0</v>
      </c>
      <c r="BE7" s="495">
        <f t="shared" si="7"/>
        <v>1607829307.0613408</v>
      </c>
      <c r="BF7" s="495">
        <f t="shared" si="7"/>
        <v>668583039.53708971</v>
      </c>
      <c r="BG7" s="495">
        <f t="shared" si="7"/>
        <v>0</v>
      </c>
      <c r="BH7" s="495">
        <f t="shared" si="7"/>
        <v>0</v>
      </c>
      <c r="BI7" s="495">
        <f t="shared" si="7"/>
        <v>0</v>
      </c>
      <c r="BJ7" s="495">
        <f t="shared" si="7"/>
        <v>668583039.52999997</v>
      </c>
      <c r="BK7" s="495">
        <f t="shared" si="7"/>
        <v>234873221.78688896</v>
      </c>
      <c r="BL7" s="495">
        <f t="shared" si="7"/>
        <v>668583039.52999997</v>
      </c>
      <c r="BM7" s="495">
        <f t="shared" si="7"/>
        <v>0</v>
      </c>
      <c r="BN7" s="495">
        <f t="shared" si="7"/>
        <v>0</v>
      </c>
      <c r="BO7" s="495">
        <f t="shared" si="7"/>
        <v>0</v>
      </c>
      <c r="BP7" s="495">
        <f t="shared" si="7"/>
        <v>234873221.78688896</v>
      </c>
      <c r="BQ7" s="495">
        <f t="shared" si="7"/>
        <v>0</v>
      </c>
      <c r="BR7" s="495">
        <f t="shared" si="7"/>
        <v>0</v>
      </c>
      <c r="BS7" s="73"/>
      <c r="BT7" s="505">
        <f>SUMIFS(BT:BT,$H:$H,"All Others",$I:$I,"Private")</f>
        <v>111</v>
      </c>
      <c r="BU7" s="506">
        <f>SUMIFS(BU:BU,$H:$H,"All Others",$I:$I,"Private")</f>
        <v>0</v>
      </c>
      <c r="BV7" s="495"/>
      <c r="BW7" s="505">
        <f t="shared" ref="BW7:CH7" si="8">SUMIFS(BW:BW,$H:$H,"All Others",$I:$I,"Private")</f>
        <v>0</v>
      </c>
      <c r="BX7" s="505">
        <f t="shared" si="8"/>
        <v>0</v>
      </c>
      <c r="BY7" s="495">
        <f t="shared" si="8"/>
        <v>0</v>
      </c>
      <c r="BZ7" s="495">
        <f t="shared" si="8"/>
        <v>0</v>
      </c>
      <c r="CA7" s="495">
        <f t="shared" si="8"/>
        <v>0</v>
      </c>
      <c r="CB7" s="495">
        <f t="shared" si="8"/>
        <v>0</v>
      </c>
      <c r="CC7" s="505">
        <f t="shared" si="8"/>
        <v>11850027.149602501</v>
      </c>
      <c r="CD7" s="495">
        <f t="shared" si="8"/>
        <v>33731930.400234856</v>
      </c>
      <c r="CE7" s="495">
        <f t="shared" si="8"/>
        <v>33731930.400234856</v>
      </c>
      <c r="CF7" s="495">
        <f t="shared" si="8"/>
        <v>16257878.670000004</v>
      </c>
      <c r="CG7" s="495">
        <f t="shared" si="8"/>
        <v>0</v>
      </c>
      <c r="CH7" s="506">
        <f t="shared" si="8"/>
        <v>684840918.19999993</v>
      </c>
      <c r="CI7" s="491"/>
      <c r="CK7" s="492"/>
      <c r="CL7" s="492"/>
      <c r="CP7" s="475"/>
      <c r="CQ7" s="477"/>
      <c r="CV7" s="732"/>
      <c r="CY7" s="428"/>
      <c r="CZ7" s="454"/>
    </row>
    <row r="8" spans="1:105" ht="15.75" customHeight="1" thickBot="1" x14ac:dyDescent="0.3">
      <c r="A8" s="354"/>
      <c r="C8" s="365">
        <v>149</v>
      </c>
      <c r="D8" s="72"/>
      <c r="E8" s="367" t="s">
        <v>245</v>
      </c>
      <c r="G8" s="737" t="s">
        <v>339</v>
      </c>
      <c r="H8" s="737"/>
      <c r="I8" s="509">
        <f>COUNTIFS(H12:H1000,"All Others",I12:I1000,"Public")</f>
        <v>33</v>
      </c>
      <c r="J8" s="508"/>
      <c r="K8" s="508"/>
      <c r="L8" s="508"/>
      <c r="M8" s="508"/>
      <c r="N8" s="510"/>
      <c r="O8" s="497">
        <f>SUMIFS(O:O,$H:$H,"All Others",$I:$I,"Public")</f>
        <v>79716.094149391429</v>
      </c>
      <c r="P8" s="497">
        <f>SUMIFS(P:P,$H:$H,"All Others",$I:$I,"Public")</f>
        <v>481774</v>
      </c>
      <c r="Q8" s="497"/>
      <c r="R8" s="497">
        <f>SUMIFS(R:R,$H:$H,"All Others",$I:$I,"Public")</f>
        <v>119822.46597830189</v>
      </c>
      <c r="S8" s="497">
        <f>SUMIFS(S:S,$H:$H,"All Others",$I:$I,"Public")</f>
        <v>199538.56012769334</v>
      </c>
      <c r="T8" s="497">
        <f>SUMIFS(T:T,$H:$H,"All Others",$I:$I,"Public")</f>
        <v>269636.456300552</v>
      </c>
      <c r="U8" s="511"/>
      <c r="V8" s="512">
        <f t="shared" ref="V8:AB8" si="9">SUMIFS(V:V,$H:$H,"All Others",$I:$I,"Public")</f>
        <v>0</v>
      </c>
      <c r="W8" s="495">
        <f t="shared" si="9"/>
        <v>326169866.04078877</v>
      </c>
      <c r="X8" s="495">
        <f t="shared" si="9"/>
        <v>0</v>
      </c>
      <c r="Y8" s="495">
        <f t="shared" si="9"/>
        <v>163806795.72243869</v>
      </c>
      <c r="Z8" s="495">
        <f t="shared" si="9"/>
        <v>0</v>
      </c>
      <c r="AA8" s="495">
        <f t="shared" si="9"/>
        <v>326169866.04078877</v>
      </c>
      <c r="AB8" s="495">
        <f t="shared" si="9"/>
        <v>0</v>
      </c>
      <c r="AC8" s="513"/>
      <c r="AD8" s="513"/>
      <c r="AE8" s="514">
        <f t="shared" ref="AE8:BR8" si="10">SUMIFS(AE:AE,$H:$H,"All Others",$I:$I,"Public")</f>
        <v>114333459.00492972</v>
      </c>
      <c r="AF8" s="514">
        <f t="shared" si="10"/>
        <v>61916670.492418371</v>
      </c>
      <c r="AG8" s="514">
        <f t="shared" si="10"/>
        <v>0</v>
      </c>
      <c r="AH8" s="515">
        <f t="shared" si="10"/>
        <v>176250129.49734804</v>
      </c>
      <c r="AI8" s="505">
        <f t="shared" si="10"/>
        <v>665545409.54269493</v>
      </c>
      <c r="AJ8" s="495">
        <f t="shared" si="10"/>
        <v>515625672.99925417</v>
      </c>
      <c r="AK8" s="495">
        <f t="shared" si="10"/>
        <v>31.57866071778475</v>
      </c>
      <c r="AL8" s="506">
        <f t="shared" si="10"/>
        <v>3622243.7590019107</v>
      </c>
      <c r="AM8" s="495">
        <f t="shared" si="10"/>
        <v>117955702.76393163</v>
      </c>
      <c r="AN8" s="495">
        <f t="shared" si="10"/>
        <v>117955702.76393163</v>
      </c>
      <c r="AO8" s="495">
        <f t="shared" si="10"/>
        <v>0</v>
      </c>
      <c r="AP8" s="495">
        <f t="shared" si="10"/>
        <v>208214163.27685711</v>
      </c>
      <c r="AQ8" s="495">
        <f t="shared" si="10"/>
        <v>0</v>
      </c>
      <c r="AR8" s="512">
        <f t="shared" si="10"/>
        <v>117955702.76393163</v>
      </c>
      <c r="AS8" s="495">
        <f t="shared" si="10"/>
        <v>63878277.140387192</v>
      </c>
      <c r="AT8" s="495">
        <f t="shared" si="10"/>
        <v>0</v>
      </c>
      <c r="AU8" s="495">
        <f t="shared" si="10"/>
        <v>181833979.90431878</v>
      </c>
      <c r="AV8" s="495">
        <f t="shared" si="10"/>
        <v>181833979.90431878</v>
      </c>
      <c r="AW8" s="495">
        <f t="shared" si="10"/>
        <v>5.0640664994716644E-9</v>
      </c>
      <c r="AX8" s="495">
        <f t="shared" si="10"/>
        <v>144335886.13647002</v>
      </c>
      <c r="AY8" s="495">
        <f t="shared" si="10"/>
        <v>2.8398795625364108E-10</v>
      </c>
      <c r="AZ8" s="495">
        <f t="shared" si="10"/>
        <v>181833979.90431878</v>
      </c>
      <c r="BA8" s="495">
        <f t="shared" si="10"/>
        <v>-1.7790065612643956E-9</v>
      </c>
      <c r="BB8" s="495">
        <f t="shared" si="10"/>
        <v>9.9764969031904103E-11</v>
      </c>
      <c r="BC8" s="495">
        <f t="shared" si="10"/>
        <v>0</v>
      </c>
      <c r="BD8" s="495">
        <f t="shared" si="10"/>
        <v>63878277.140387177</v>
      </c>
      <c r="BE8" s="495">
        <f t="shared" si="10"/>
        <v>144335886.13647002</v>
      </c>
      <c r="BF8" s="495">
        <f t="shared" si="10"/>
        <v>117955702.76393163</v>
      </c>
      <c r="BG8" s="495">
        <f t="shared" si="10"/>
        <v>0</v>
      </c>
      <c r="BH8" s="495">
        <f t="shared" si="10"/>
        <v>0</v>
      </c>
      <c r="BI8" s="495">
        <f t="shared" si="10"/>
        <v>0</v>
      </c>
      <c r="BJ8" s="495">
        <f t="shared" si="10"/>
        <v>181833979.86999997</v>
      </c>
      <c r="BK8" s="495">
        <f t="shared" si="10"/>
        <v>63878277.128330983</v>
      </c>
      <c r="BL8" s="495">
        <f t="shared" si="10"/>
        <v>181833979.86999997</v>
      </c>
      <c r="BM8" s="495">
        <f t="shared" si="10"/>
        <v>0</v>
      </c>
      <c r="BN8" s="495">
        <f t="shared" si="10"/>
        <v>0</v>
      </c>
      <c r="BO8" s="495">
        <f t="shared" si="10"/>
        <v>63878277.170000017</v>
      </c>
      <c r="BP8" s="495">
        <f t="shared" si="10"/>
        <v>63878277.128330983</v>
      </c>
      <c r="BQ8" s="495">
        <f t="shared" si="10"/>
        <v>0</v>
      </c>
      <c r="BR8" s="495">
        <f t="shared" si="10"/>
        <v>63878277.150000006</v>
      </c>
      <c r="BS8" s="73"/>
      <c r="BT8" s="505">
        <f>SUMIFS(BT:BT,$H:$H,"All Others",$I:$I,"Public")</f>
        <v>45.908788710593171</v>
      </c>
      <c r="BU8" s="506">
        <f>SUMIFS(BU:BU,$H:$H,"All Others",$I:$I,"Public")</f>
        <v>0</v>
      </c>
      <c r="BV8" s="495"/>
      <c r="BW8" s="505">
        <f t="shared" ref="BW8:CH8" si="11">SUMIFS(BW:BW,$H:$H,"All Others",$I:$I,"Public")</f>
        <v>0</v>
      </c>
      <c r="BX8" s="505">
        <f t="shared" si="11"/>
        <v>0</v>
      </c>
      <c r="BY8" s="495">
        <f t="shared" si="11"/>
        <v>0</v>
      </c>
      <c r="BZ8" s="495">
        <f t="shared" si="11"/>
        <v>0</v>
      </c>
      <c r="CA8" s="495">
        <f t="shared" si="11"/>
        <v>0</v>
      </c>
      <c r="CB8" s="495">
        <f t="shared" si="11"/>
        <v>0</v>
      </c>
      <c r="CC8" s="505">
        <f t="shared" si="11"/>
        <v>0</v>
      </c>
      <c r="CD8" s="495">
        <f t="shared" si="11"/>
        <v>0</v>
      </c>
      <c r="CE8" s="495">
        <f t="shared" si="11"/>
        <v>0</v>
      </c>
      <c r="CF8" s="495">
        <f t="shared" si="11"/>
        <v>0</v>
      </c>
      <c r="CG8" s="495">
        <f t="shared" si="11"/>
        <v>0</v>
      </c>
      <c r="CH8" s="506">
        <f t="shared" si="11"/>
        <v>181833979.86999997</v>
      </c>
      <c r="CI8" s="491"/>
      <c r="CK8" s="492"/>
      <c r="CL8" s="492"/>
      <c r="CP8" s="475"/>
      <c r="CQ8" s="477"/>
      <c r="CV8" s="732"/>
      <c r="CY8" s="428"/>
      <c r="CZ8" s="454"/>
    </row>
    <row r="9" spans="1:105" ht="15.75" thickBot="1" x14ac:dyDescent="0.3">
      <c r="A9" s="7"/>
      <c r="C9" s="72"/>
      <c r="D9" s="72"/>
      <c r="E9" s="72"/>
      <c r="G9" s="738" t="s">
        <v>340</v>
      </c>
      <c r="H9" s="738"/>
      <c r="I9" s="516">
        <f>SUM(I5:I8)</f>
        <v>149</v>
      </c>
      <c r="J9" s="517"/>
      <c r="K9" s="517"/>
      <c r="L9" s="517"/>
      <c r="M9" s="517"/>
      <c r="N9" s="518"/>
      <c r="O9" s="519">
        <f>O5+O6+O7+O8</f>
        <v>1961068.9087327248</v>
      </c>
      <c r="P9" s="519">
        <f t="shared" ref="P9:T9" si="12">P5+P6+P7+P8</f>
        <v>9547115</v>
      </c>
      <c r="Q9" s="519"/>
      <c r="R9" s="519">
        <f t="shared" si="12"/>
        <v>2243208.4499358451</v>
      </c>
      <c r="S9" s="519">
        <f t="shared" si="12"/>
        <v>4204277.3586685676</v>
      </c>
      <c r="T9" s="519">
        <f t="shared" si="12"/>
        <v>4274375.2548414264</v>
      </c>
      <c r="U9" s="520">
        <f>SUMIFS($U:$U, $B:$B, "&lt;&gt;")</f>
        <v>1.0000000000000004</v>
      </c>
      <c r="V9" s="521">
        <f>V5+V6+V7+V8</f>
        <v>0</v>
      </c>
      <c r="W9" s="522">
        <f t="shared" ref="W9:AB9" si="13">SUM(W5:W8)</f>
        <v>4297349403.3492975</v>
      </c>
      <c r="X9" s="522">
        <f t="shared" si="13"/>
        <v>0</v>
      </c>
      <c r="Y9" s="522">
        <f t="shared" si="13"/>
        <v>2989930236.6593695</v>
      </c>
      <c r="Z9" s="522">
        <f t="shared" si="13"/>
        <v>0</v>
      </c>
      <c r="AA9" s="522">
        <f t="shared" si="13"/>
        <v>4297349403.3492975</v>
      </c>
      <c r="AB9" s="522">
        <f t="shared" si="13"/>
        <v>0.99999999999999978</v>
      </c>
      <c r="AC9" s="523"/>
      <c r="AD9" s="523"/>
      <c r="AE9" s="524">
        <f t="shared" ref="AE9:AK9" si="14">SUM(AE5:AE8)</f>
        <v>771991079.70218182</v>
      </c>
      <c r="AF9" s="524">
        <f t="shared" si="14"/>
        <v>99314654.595282778</v>
      </c>
      <c r="AG9" s="524">
        <f t="shared" si="14"/>
        <v>318752967.26285863</v>
      </c>
      <c r="AH9" s="525">
        <f t="shared" si="14"/>
        <v>871305734.29746449</v>
      </c>
      <c r="AI9" s="526">
        <f t="shared" si="14"/>
        <v>12284526704.046347</v>
      </c>
      <c r="AJ9" s="522">
        <f t="shared" si="14"/>
        <v>8858483034.9945126</v>
      </c>
      <c r="AK9" s="522">
        <f t="shared" si="14"/>
        <v>127.1656369391219</v>
      </c>
      <c r="AL9" s="527">
        <f>SUM(AL5:AL8)</f>
        <v>346079247.00000024</v>
      </c>
      <c r="AM9" s="522">
        <f t="shared" ref="AM9:BR9" si="15">SUM(AM5:AM8)</f>
        <v>1118070326.7021818</v>
      </c>
      <c r="AN9" s="522">
        <f t="shared" si="15"/>
        <v>1118070326.7021818</v>
      </c>
      <c r="AO9" s="522">
        <f t="shared" si="15"/>
        <v>0</v>
      </c>
      <c r="AP9" s="522">
        <f t="shared" si="15"/>
        <v>3179279076.6471162</v>
      </c>
      <c r="AQ9" s="522">
        <f t="shared" si="15"/>
        <v>0</v>
      </c>
      <c r="AR9" s="521">
        <f t="shared" si="15"/>
        <v>1118070326.7021818</v>
      </c>
      <c r="AS9" s="522">
        <f t="shared" si="15"/>
        <v>243417425.5913316</v>
      </c>
      <c r="AT9" s="522">
        <f t="shared" si="15"/>
        <v>362067553.24399501</v>
      </c>
      <c r="AU9" s="522">
        <f t="shared" si="15"/>
        <v>1723555305.5375082</v>
      </c>
      <c r="AV9" s="522">
        <f t="shared" si="15"/>
        <v>1723555305.5375082</v>
      </c>
      <c r="AW9" s="522">
        <f t="shared" si="15"/>
        <v>5.0640664994716644E-9</v>
      </c>
      <c r="AX9" s="522">
        <f t="shared" si="15"/>
        <v>2573794097.8117905</v>
      </c>
      <c r="AY9" s="522">
        <f t="shared" si="15"/>
        <v>5.0640664994716628E-9</v>
      </c>
      <c r="AZ9" s="522">
        <f t="shared" si="15"/>
        <v>1723555305.5375082</v>
      </c>
      <c r="BA9" s="522">
        <f t="shared" si="15"/>
        <v>-1.7790065612643956E-9</v>
      </c>
      <c r="BB9" s="522">
        <f t="shared" si="15"/>
        <v>6.6767489371292405E-10</v>
      </c>
      <c r="BC9" s="522">
        <f t="shared" si="15"/>
        <v>1.1113316675514709E-9</v>
      </c>
      <c r="BD9" s="522">
        <f t="shared" si="15"/>
        <v>605484978.83532655</v>
      </c>
      <c r="BE9" s="522">
        <f t="shared" si="15"/>
        <v>2573794097.8117905</v>
      </c>
      <c r="BF9" s="522">
        <f t="shared" si="15"/>
        <v>1118070326.7021818</v>
      </c>
      <c r="BG9" s="522">
        <f t="shared" si="15"/>
        <v>0</v>
      </c>
      <c r="BH9" s="522">
        <f t="shared" si="15"/>
        <v>0</v>
      </c>
      <c r="BI9" s="522">
        <f t="shared" si="15"/>
        <v>0</v>
      </c>
      <c r="BJ9" s="522">
        <f t="shared" si="15"/>
        <v>1723555305.4899998</v>
      </c>
      <c r="BK9" s="522">
        <f t="shared" si="15"/>
        <v>605484978.81863689</v>
      </c>
      <c r="BL9" s="522">
        <f t="shared" si="15"/>
        <v>1723555305.4899998</v>
      </c>
      <c r="BM9" s="522">
        <f t="shared" si="15"/>
        <v>0</v>
      </c>
      <c r="BN9" s="522">
        <f t="shared" si="15"/>
        <v>0</v>
      </c>
      <c r="BO9" s="522">
        <f t="shared" si="15"/>
        <v>605484978.8599999</v>
      </c>
      <c r="BP9" s="522">
        <f t="shared" si="15"/>
        <v>605484978.81863689</v>
      </c>
      <c r="BQ9" s="522">
        <f t="shared" si="15"/>
        <v>234873221.7868889</v>
      </c>
      <c r="BR9" s="522">
        <f t="shared" si="15"/>
        <v>605484978.83999991</v>
      </c>
      <c r="BS9" s="73"/>
      <c r="BT9" s="526">
        <f t="shared" ref="BT9" si="16">SUM(BT5:BT8)</f>
        <v>161.90878871059317</v>
      </c>
      <c r="BU9" s="527">
        <f>SUM(BU5:BU8)</f>
        <v>0</v>
      </c>
      <c r="BV9" s="528"/>
      <c r="BW9" s="526">
        <f t="shared" ref="BW9:CG9" si="17">SUM(BW5:BW8)</f>
        <v>0</v>
      </c>
      <c r="BX9" s="526">
        <f t="shared" si="17"/>
        <v>0</v>
      </c>
      <c r="BY9" s="522">
        <f t="shared" si="17"/>
        <v>0</v>
      </c>
      <c r="BZ9" s="522">
        <f t="shared" si="17"/>
        <v>0</v>
      </c>
      <c r="CA9" s="522">
        <f t="shared" si="17"/>
        <v>0</v>
      </c>
      <c r="CB9" s="522">
        <f t="shared" si="17"/>
        <v>0</v>
      </c>
      <c r="CC9" s="526">
        <f t="shared" si="17"/>
        <v>11850027.149602501</v>
      </c>
      <c r="CD9" s="522">
        <f t="shared" si="17"/>
        <v>33731930.400234856</v>
      </c>
      <c r="CE9" s="522">
        <f t="shared" si="17"/>
        <v>33731930.400234856</v>
      </c>
      <c r="CF9" s="522">
        <f t="shared" si="17"/>
        <v>16257878.670000004</v>
      </c>
      <c r="CG9" s="522">
        <f t="shared" si="17"/>
        <v>8804366.8518128544</v>
      </c>
      <c r="CH9" s="527">
        <f>SUM(CH5:CH8)</f>
        <v>1748617551.0118127</v>
      </c>
      <c r="CI9" s="472">
        <f>CH4-CH9</f>
        <v>-25062245.474304438</v>
      </c>
      <c r="CJ9" s="454"/>
      <c r="CK9" s="529"/>
      <c r="CL9" s="529"/>
      <c r="CP9" s="475"/>
      <c r="CQ9" s="477"/>
    </row>
    <row r="10" spans="1:105" s="354" customFormat="1" ht="21" customHeight="1" thickBot="1" x14ac:dyDescent="0.3">
      <c r="A10" s="530"/>
      <c r="B10" s="371"/>
      <c r="C10" s="531"/>
      <c r="D10" s="531"/>
      <c r="E10" s="531"/>
      <c r="F10" s="371"/>
      <c r="G10" s="371"/>
      <c r="H10" s="371"/>
      <c r="I10" s="371"/>
      <c r="J10" s="371"/>
      <c r="K10" s="371"/>
      <c r="L10" s="371"/>
      <c r="M10" s="371"/>
      <c r="N10" s="371"/>
      <c r="O10" s="532" t="b">
        <f>O9=SUM(O16:O181)</f>
        <v>1</v>
      </c>
      <c r="P10" s="532" t="b">
        <f>P9=SUM(P16:P181)</f>
        <v>1</v>
      </c>
      <c r="Q10" s="532"/>
      <c r="R10" s="533" t="b">
        <f>R9=SUM(R16:R181)</f>
        <v>0</v>
      </c>
      <c r="S10" s="533" t="b">
        <f>S9=SUM(S16:S181)</f>
        <v>1</v>
      </c>
      <c r="T10" s="533" t="b">
        <f>ROUND(T9,1)=ROUND(SUM(T16:T237),1)</f>
        <v>1</v>
      </c>
      <c r="U10" s="534"/>
      <c r="V10" s="533" t="b">
        <f>V9=SUM(V16:V181)</f>
        <v>1</v>
      </c>
      <c r="W10" s="535"/>
      <c r="X10" s="535"/>
      <c r="Y10" s="535"/>
      <c r="Z10" s="535"/>
      <c r="AA10" s="535"/>
      <c r="AB10" s="536"/>
      <c r="AC10" s="533"/>
      <c r="AD10" s="533"/>
      <c r="AE10" s="533"/>
      <c r="AF10" s="533"/>
      <c r="AG10" s="533"/>
      <c r="AH10" s="537"/>
      <c r="AI10" s="533"/>
      <c r="AJ10" s="533"/>
      <c r="AK10" s="533"/>
      <c r="AL10" s="538">
        <f>AM4+(BU4-BU9)*Federal_Match_Rate</f>
        <v>378595003.91187531</v>
      </c>
      <c r="AM10" s="539" t="b">
        <f>$AL$9=ROUND(AM4,0)</f>
        <v>1</v>
      </c>
      <c r="AN10" s="535"/>
      <c r="AO10" s="535"/>
      <c r="AP10" s="535"/>
      <c r="AQ10" s="535"/>
      <c r="AR10" s="535"/>
      <c r="AS10" s="536">
        <f>IFERROR(IF(C24="","",IF(H24&lt;&gt;"All Others",((AH24+AL24)/AM24*AR24)/Federal_Match_Rate*State_Match_Rate,IF(I24&lt;&gt;"Private",((AL24+AH24)/AM24*AR24)/Federal_Match_Rate*State_Match_Rate*NonTransferring_Hospital_Self_IGT_Adj,0))),0)</f>
        <v>0</v>
      </c>
      <c r="AT10" s="536"/>
      <c r="AU10" s="536"/>
      <c r="AV10" s="536"/>
      <c r="AW10" s="536"/>
      <c r="AX10" s="540"/>
      <c r="AY10" s="536"/>
      <c r="AZ10" s="536"/>
      <c r="BA10" s="536"/>
      <c r="BB10" s="536"/>
      <c r="BC10" s="536"/>
      <c r="BD10" s="536"/>
      <c r="BE10" s="536"/>
      <c r="BF10" s="536"/>
      <c r="BG10" s="536"/>
      <c r="BH10" s="536"/>
      <c r="BI10" s="541"/>
      <c r="BJ10" s="542"/>
      <c r="BK10" s="541"/>
      <c r="BL10" s="543"/>
      <c r="BM10" s="536"/>
      <c r="BN10" s="536"/>
      <c r="BO10" s="544"/>
      <c r="BP10" s="544"/>
      <c r="BQ10" s="544"/>
      <c r="BR10" s="544"/>
      <c r="BS10" s="544"/>
      <c r="BT10" s="544"/>
      <c r="BU10" s="544"/>
      <c r="BV10" s="544"/>
      <c r="BW10" s="545">
        <f>BW4-BW9</f>
        <v>50124491.049914561</v>
      </c>
      <c r="BX10" s="544"/>
      <c r="BY10" s="544"/>
      <c r="BZ10" s="544"/>
      <c r="CA10" s="544"/>
      <c r="CB10" s="544"/>
      <c r="CC10" s="544"/>
      <c r="CD10" s="544"/>
      <c r="CE10" s="544"/>
      <c r="CF10" s="544">
        <f>CF9-CC9</f>
        <v>4407851.5203975029</v>
      </c>
      <c r="CG10" s="544">
        <f>(CG9+CF9)*2+CA9</f>
        <v>50124491.043625712</v>
      </c>
      <c r="CH10" s="544">
        <f>CG9/2</f>
        <v>4402183.4259064272</v>
      </c>
      <c r="CI10" s="544"/>
      <c r="CJ10" s="544"/>
      <c r="CK10" s="546"/>
      <c r="CL10" s="546"/>
      <c r="CM10" s="546"/>
      <c r="CN10" s="546"/>
      <c r="CP10" s="475"/>
      <c r="CQ10" s="477"/>
      <c r="CV10" s="547"/>
      <c r="CY10" s="428"/>
      <c r="CZ10" s="176"/>
    </row>
    <row r="11" spans="1:105" ht="26.25" hidden="1" customHeight="1" thickTop="1" x14ac:dyDescent="0.25">
      <c r="A11" s="7"/>
      <c r="C11" s="386" t="s">
        <v>246</v>
      </c>
      <c r="D11" s="72"/>
      <c r="E11" s="72"/>
      <c r="G11" s="383"/>
      <c r="H11" s="383"/>
      <c r="I11" s="383"/>
      <c r="J11" s="383"/>
      <c r="K11" s="383"/>
      <c r="L11" s="383"/>
      <c r="M11" s="383"/>
      <c r="N11" s="383" t="s">
        <v>341</v>
      </c>
      <c r="O11" s="383" t="s">
        <v>342</v>
      </c>
      <c r="P11" s="383"/>
      <c r="Q11" s="383"/>
      <c r="R11" s="548" t="s">
        <v>343</v>
      </c>
      <c r="S11" s="548" t="s">
        <v>344</v>
      </c>
      <c r="T11" s="548" t="s">
        <v>345</v>
      </c>
      <c r="U11" s="549" t="s">
        <v>346</v>
      </c>
      <c r="V11" s="548" t="s">
        <v>347</v>
      </c>
      <c r="W11" s="458"/>
      <c r="X11" s="458"/>
      <c r="Y11" s="458"/>
      <c r="Z11" s="458"/>
      <c r="AA11" s="458"/>
      <c r="AB11" s="550"/>
      <c r="AC11" s="548"/>
      <c r="AD11" s="548"/>
      <c r="AE11" s="548"/>
      <c r="AF11" s="548"/>
      <c r="AG11" s="548"/>
      <c r="AH11" s="548"/>
      <c r="AI11" s="548">
        <f>SUMIF($F:$F,1,AI:AI)</f>
        <v>0</v>
      </c>
      <c r="AJ11" s="548">
        <f>SUMIF($F:$F,1,AJ:AJ)</f>
        <v>0</v>
      </c>
      <c r="AK11" s="548"/>
      <c r="AL11" s="548">
        <f>SUMIF($F:$F,1,AL:AL)</f>
        <v>0</v>
      </c>
      <c r="AM11" s="458"/>
      <c r="AN11" s="458"/>
      <c r="AO11" s="458"/>
      <c r="AP11" s="458"/>
      <c r="AQ11" s="458"/>
      <c r="AR11" s="458"/>
      <c r="AS11" s="550"/>
      <c r="AT11" s="550"/>
      <c r="AU11" s="550"/>
      <c r="AV11" s="550"/>
      <c r="AW11" s="550"/>
      <c r="AX11" s="551"/>
      <c r="AY11" s="550"/>
      <c r="AZ11" s="550"/>
      <c r="BA11" s="550"/>
      <c r="BB11" s="550"/>
      <c r="BC11" s="550"/>
      <c r="BD11" s="550"/>
      <c r="BE11" s="550"/>
      <c r="BF11" s="550"/>
      <c r="BG11" s="550"/>
      <c r="BH11" s="550"/>
      <c r="BI11" s="552"/>
      <c r="BJ11" s="553"/>
      <c r="BK11" s="552"/>
      <c r="BL11" s="467"/>
      <c r="BM11" s="550"/>
      <c r="BN11" s="550"/>
      <c r="BO11" s="554"/>
      <c r="BP11" s="554"/>
      <c r="BQ11" s="554"/>
      <c r="BR11" s="554"/>
      <c r="BS11" s="554"/>
      <c r="BT11" s="554"/>
      <c r="BU11" s="554"/>
      <c r="BV11" s="554"/>
      <c r="BW11" s="554"/>
      <c r="BX11" s="554"/>
      <c r="BY11" s="554"/>
      <c r="BZ11" s="554"/>
      <c r="CA11" s="554"/>
      <c r="CB11" s="554"/>
      <c r="CC11" s="554"/>
      <c r="CD11" s="554"/>
      <c r="CE11" s="554"/>
      <c r="CF11" s="554"/>
      <c r="CG11" s="554"/>
      <c r="CH11" s="554"/>
      <c r="CI11" s="554"/>
      <c r="CJ11" s="554"/>
      <c r="CK11" s="555"/>
      <c r="CL11" s="555"/>
      <c r="CM11" s="555"/>
      <c r="CN11" s="555"/>
      <c r="CP11" s="491"/>
      <c r="CQ11" s="556"/>
      <c r="CV11" s="732"/>
      <c r="CY11" s="557"/>
      <c r="DA11" s="454"/>
    </row>
    <row r="12" spans="1:105" ht="154.5" hidden="1" customHeight="1" x14ac:dyDescent="0.25">
      <c r="A12" s="392"/>
      <c r="C12" s="386" t="s">
        <v>348</v>
      </c>
      <c r="G12" s="383"/>
      <c r="H12" s="383"/>
      <c r="I12" s="383"/>
      <c r="J12" s="383"/>
      <c r="K12" s="383"/>
      <c r="L12" s="383"/>
      <c r="M12" s="383"/>
      <c r="N12" s="383" t="s">
        <v>349</v>
      </c>
      <c r="O12" s="383" t="s">
        <v>350</v>
      </c>
      <c r="P12" s="383"/>
      <c r="Q12" s="383"/>
      <c r="R12" s="548" t="s">
        <v>351</v>
      </c>
      <c r="S12" s="548" t="s">
        <v>352</v>
      </c>
      <c r="T12" s="548" t="s">
        <v>353</v>
      </c>
      <c r="U12" s="549" t="s">
        <v>354</v>
      </c>
      <c r="V12" s="548" t="s">
        <v>355</v>
      </c>
      <c r="W12" s="383"/>
      <c r="X12" s="383"/>
      <c r="Y12" s="383"/>
      <c r="Z12" s="383"/>
      <c r="AA12" s="383"/>
      <c r="AB12" s="383"/>
      <c r="AC12" s="548"/>
      <c r="AD12" s="548"/>
      <c r="AE12" s="548"/>
      <c r="AF12" s="548"/>
      <c r="AG12" s="548"/>
      <c r="AH12" s="548"/>
      <c r="AI12" s="548">
        <f>SUMIF($F:$F,2,AI:AI)</f>
        <v>0</v>
      </c>
      <c r="AJ12" s="548">
        <f>SUMIF($F:$F,2,AJ:AJ)</f>
        <v>0</v>
      </c>
      <c r="AK12" s="548"/>
      <c r="AL12" s="548">
        <f>SUMIF($F:$F,2,AL:AL)</f>
        <v>0</v>
      </c>
      <c r="AM12" s="383" t="e">
        <v>#N/A</v>
      </c>
      <c r="AN12" s="383" t="s">
        <v>356</v>
      </c>
      <c r="AO12" s="383" t="s">
        <v>357</v>
      </c>
      <c r="AP12" s="383" t="e">
        <v>#N/A</v>
      </c>
      <c r="AQ12" s="383" t="e">
        <v>#N/A</v>
      </c>
      <c r="AR12" s="383" t="e">
        <v>#N/A</v>
      </c>
      <c r="AS12" s="383" t="s">
        <v>358</v>
      </c>
      <c r="AT12" s="383"/>
      <c r="AU12" s="383" t="s">
        <v>359</v>
      </c>
      <c r="AV12" s="383" t="s">
        <v>360</v>
      </c>
      <c r="AW12" s="383" t="s">
        <v>361</v>
      </c>
      <c r="AX12" s="383" t="s">
        <v>362</v>
      </c>
      <c r="AY12" s="383" t="e">
        <v>#N/A</v>
      </c>
      <c r="AZ12" s="383" t="e">
        <v>#N/A</v>
      </c>
      <c r="BA12" s="383" t="s">
        <v>361</v>
      </c>
      <c r="BQ12" s="383" t="s">
        <v>363</v>
      </c>
      <c r="CB12" s="389"/>
      <c r="CG12" s="389"/>
      <c r="CP12" s="491"/>
      <c r="CQ12" s="556"/>
      <c r="CV12" s="732"/>
      <c r="CY12" s="733"/>
    </row>
    <row r="13" spans="1:105" ht="64.5" customHeight="1" thickTop="1" x14ac:dyDescent="0.25">
      <c r="C13" s="386"/>
      <c r="D13" s="72"/>
      <c r="E13" s="72"/>
      <c r="G13" s="436"/>
      <c r="H13" s="383"/>
      <c r="I13" s="383"/>
      <c r="J13" s="383"/>
      <c r="K13" s="383"/>
      <c r="L13" s="383"/>
      <c r="M13" s="383"/>
      <c r="N13" s="383" t="s">
        <v>364</v>
      </c>
      <c r="O13" s="383"/>
      <c r="P13" s="383"/>
      <c r="Q13" s="383"/>
      <c r="R13" s="548" t="s">
        <v>365</v>
      </c>
      <c r="S13" s="548" t="s">
        <v>366</v>
      </c>
      <c r="T13" s="548" t="s">
        <v>367</v>
      </c>
      <c r="U13" s="549" t="s">
        <v>368</v>
      </c>
      <c r="V13" s="548" t="s">
        <v>369</v>
      </c>
      <c r="W13" s="383"/>
      <c r="X13" s="383"/>
      <c r="Y13" s="383"/>
      <c r="Z13" s="383" t="s">
        <v>249</v>
      </c>
      <c r="AA13" s="383" t="s">
        <v>370</v>
      </c>
      <c r="AB13" s="383" t="s">
        <v>371</v>
      </c>
      <c r="AC13" s="548"/>
      <c r="AD13" s="548"/>
      <c r="AE13" s="548"/>
      <c r="AF13" s="548"/>
      <c r="AG13" s="548"/>
      <c r="AH13" s="558"/>
      <c r="AI13" s="383"/>
      <c r="AJ13" s="383"/>
      <c r="AK13" s="548"/>
      <c r="AM13" s="383" t="s">
        <v>372</v>
      </c>
      <c r="AN13" s="383" t="s">
        <v>373</v>
      </c>
      <c r="AO13" s="383" t="s">
        <v>374</v>
      </c>
      <c r="AP13" s="383" t="s">
        <v>375</v>
      </c>
      <c r="AQ13" s="383" t="s">
        <v>376</v>
      </c>
      <c r="AR13" s="383" t="s">
        <v>377</v>
      </c>
      <c r="AS13" s="383" t="s">
        <v>378</v>
      </c>
      <c r="AT13" s="383" t="s">
        <v>379</v>
      </c>
      <c r="AU13" s="383" t="s">
        <v>380</v>
      </c>
      <c r="AV13" s="383" t="s">
        <v>381</v>
      </c>
      <c r="AW13" s="383" t="s">
        <v>382</v>
      </c>
      <c r="AX13" s="383" t="s">
        <v>383</v>
      </c>
      <c r="AY13" s="383" t="s">
        <v>384</v>
      </c>
      <c r="AZ13" s="383" t="s">
        <v>385</v>
      </c>
      <c r="BA13" s="383" t="s">
        <v>386</v>
      </c>
      <c r="BB13" s="383" t="s">
        <v>387</v>
      </c>
      <c r="BC13" s="383" t="s">
        <v>388</v>
      </c>
      <c r="BD13" s="383" t="s">
        <v>389</v>
      </c>
      <c r="BE13" s="383" t="s">
        <v>390</v>
      </c>
      <c r="BF13" s="383" t="s">
        <v>391</v>
      </c>
      <c r="BG13" s="383"/>
      <c r="BH13" s="383"/>
      <c r="BI13" s="383" t="s">
        <v>392</v>
      </c>
      <c r="BJ13" s="383" t="s">
        <v>393</v>
      </c>
      <c r="BK13" s="383" t="s">
        <v>394</v>
      </c>
      <c r="BL13" s="383" t="s">
        <v>395</v>
      </c>
      <c r="BM13" s="383" t="s">
        <v>396</v>
      </c>
      <c r="BN13" s="383" t="s">
        <v>397</v>
      </c>
      <c r="BO13" s="383" t="s">
        <v>398</v>
      </c>
      <c r="BP13" s="383" t="s">
        <v>399</v>
      </c>
      <c r="BQ13" s="383" t="s">
        <v>400</v>
      </c>
      <c r="BR13" s="383" t="s">
        <v>401</v>
      </c>
      <c r="BS13" s="559"/>
      <c r="BT13" s="559"/>
      <c r="BU13" s="559"/>
      <c r="BV13" s="559"/>
      <c r="BW13" s="559"/>
      <c r="BX13" s="383" t="s">
        <v>402</v>
      </c>
      <c r="BY13" s="383" t="s">
        <v>403</v>
      </c>
      <c r="BZ13" s="383" t="s">
        <v>404</v>
      </c>
      <c r="CA13" s="383" t="s">
        <v>405</v>
      </c>
      <c r="CB13" s="383" t="s">
        <v>406</v>
      </c>
      <c r="CC13" s="383" t="s">
        <v>402</v>
      </c>
      <c r="CD13" s="383" t="s">
        <v>403</v>
      </c>
      <c r="CE13" s="383" t="s">
        <v>404</v>
      </c>
      <c r="CF13" s="383" t="s">
        <v>405</v>
      </c>
      <c r="CG13" s="383" t="s">
        <v>406</v>
      </c>
      <c r="CH13" s="383" t="s">
        <v>407</v>
      </c>
      <c r="CI13" s="383"/>
      <c r="CK13" s="390" t="s">
        <v>408</v>
      </c>
      <c r="CL13" s="390"/>
      <c r="CM13" s="390" t="s">
        <v>258</v>
      </c>
      <c r="CN13" s="391"/>
      <c r="CP13" s="491"/>
      <c r="CQ13" s="556"/>
      <c r="CV13" s="732"/>
      <c r="CY13" s="733"/>
    </row>
    <row r="14" spans="1:105" ht="15.6" customHeight="1" thickBot="1" x14ac:dyDescent="0.3">
      <c r="C14" s="72"/>
      <c r="D14" s="72"/>
      <c r="E14" s="72"/>
      <c r="J14" s="560"/>
      <c r="W14" s="383"/>
      <c r="X14" s="383"/>
      <c r="Y14" s="383"/>
      <c r="Z14" s="383"/>
      <c r="AA14" s="383"/>
      <c r="AB14" s="383"/>
      <c r="AI14" s="734" t="s">
        <v>409</v>
      </c>
      <c r="AJ14" s="734"/>
      <c r="AK14" s="734"/>
      <c r="AL14" s="734"/>
      <c r="AN14" s="383"/>
      <c r="AO14" s="383"/>
      <c r="AP14" s="383"/>
      <c r="AQ14" s="383"/>
      <c r="AR14" s="383"/>
      <c r="AS14" s="383">
        <f>(AL65/AM65)*AR65/Federal_Match_Rate*State_Match_Rate</f>
        <v>0</v>
      </c>
      <c r="AT14" s="383"/>
      <c r="AU14" s="383"/>
      <c r="AV14" s="383"/>
      <c r="AW14" s="383"/>
      <c r="AX14" s="383"/>
      <c r="AY14" s="383"/>
      <c r="AZ14" s="383"/>
      <c r="BA14" s="383"/>
      <c r="BB14" s="383"/>
      <c r="BC14" s="383"/>
      <c r="BD14" s="383"/>
      <c r="BE14" s="383"/>
      <c r="BF14" s="383"/>
      <c r="BG14" s="383"/>
      <c r="BH14" s="383"/>
      <c r="BJ14" s="383" t="str">
        <f>IF(C14="","",ROUND(AZ14-BG14,2))</f>
        <v/>
      </c>
      <c r="BK14" s="383"/>
      <c r="BL14" s="383"/>
      <c r="BM14" s="383"/>
      <c r="BN14" s="383"/>
      <c r="BO14" s="383"/>
      <c r="BP14" s="383"/>
      <c r="BQ14" s="383"/>
      <c r="BR14" s="383"/>
      <c r="BS14" s="559"/>
      <c r="BT14" s="735" t="s">
        <v>410</v>
      </c>
      <c r="BU14" s="735"/>
      <c r="BV14" s="561"/>
      <c r="BW14" s="559"/>
      <c r="BX14" s="383"/>
      <c r="BY14" s="383"/>
      <c r="BZ14" s="383"/>
      <c r="CA14" s="383"/>
      <c r="CB14" s="383"/>
      <c r="CC14" s="383"/>
      <c r="CD14" s="383"/>
      <c r="CE14" s="383"/>
      <c r="CF14" s="383"/>
      <c r="CG14" s="383"/>
      <c r="CH14" s="383"/>
      <c r="CI14" s="383"/>
      <c r="CK14" s="390"/>
      <c r="CL14" s="390"/>
      <c r="CM14" s="390"/>
      <c r="CN14" s="391"/>
      <c r="CP14" s="472"/>
      <c r="CQ14" s="562"/>
    </row>
    <row r="15" spans="1:105" ht="115.5" thickBot="1" x14ac:dyDescent="0.3">
      <c r="B15" s="563" t="s">
        <v>259</v>
      </c>
      <c r="C15" s="564" t="str">
        <f>Year&amp;" TPI"</f>
        <v>2023 TPI</v>
      </c>
      <c r="D15" s="565" t="s">
        <v>52</v>
      </c>
      <c r="E15" s="565" t="s">
        <v>260</v>
      </c>
      <c r="F15" s="566" t="s">
        <v>261</v>
      </c>
      <c r="G15" s="566" t="s">
        <v>262</v>
      </c>
      <c r="H15" s="566" t="s">
        <v>10</v>
      </c>
      <c r="I15" s="566" t="s">
        <v>263</v>
      </c>
      <c r="J15" s="566" t="s">
        <v>411</v>
      </c>
      <c r="K15" s="566" t="s">
        <v>265</v>
      </c>
      <c r="L15" s="566" t="s">
        <v>267</v>
      </c>
      <c r="M15" s="566" t="s">
        <v>412</v>
      </c>
      <c r="N15" s="567" t="s">
        <v>413</v>
      </c>
      <c r="O15" s="566" t="s">
        <v>414</v>
      </c>
      <c r="P15" s="566" t="s">
        <v>415</v>
      </c>
      <c r="Q15" s="566" t="s">
        <v>416</v>
      </c>
      <c r="R15" s="568" t="s">
        <v>417</v>
      </c>
      <c r="S15" s="568" t="s">
        <v>418</v>
      </c>
      <c r="T15" s="568" t="s">
        <v>419</v>
      </c>
      <c r="U15" s="569" t="s">
        <v>420</v>
      </c>
      <c r="V15" s="568" t="s">
        <v>421</v>
      </c>
      <c r="W15" s="570" t="s">
        <v>422</v>
      </c>
      <c r="X15" s="397" t="s">
        <v>423</v>
      </c>
      <c r="Y15" s="566" t="s">
        <v>424</v>
      </c>
      <c r="Z15" s="571" t="s">
        <v>270</v>
      </c>
      <c r="AA15" s="571" t="s">
        <v>271</v>
      </c>
      <c r="AB15" s="572" t="s">
        <v>425</v>
      </c>
      <c r="AC15" s="568" t="s">
        <v>426</v>
      </c>
      <c r="AD15" s="568" t="s">
        <v>427</v>
      </c>
      <c r="AE15" s="568" t="s">
        <v>428</v>
      </c>
      <c r="AF15" s="568" t="s">
        <v>429</v>
      </c>
      <c r="AG15" s="568" t="s">
        <v>430</v>
      </c>
      <c r="AH15" s="568" t="s">
        <v>431</v>
      </c>
      <c r="AI15" s="566" t="s">
        <v>432</v>
      </c>
      <c r="AJ15" s="566" t="s">
        <v>433</v>
      </c>
      <c r="AK15" s="573" t="s">
        <v>434</v>
      </c>
      <c r="AL15" s="574" t="s">
        <v>435</v>
      </c>
      <c r="AM15" s="398" t="s">
        <v>436</v>
      </c>
      <c r="AN15" s="571" t="s">
        <v>437</v>
      </c>
      <c r="AO15" s="571" t="s">
        <v>438</v>
      </c>
      <c r="AP15" s="571" t="s">
        <v>273</v>
      </c>
      <c r="AQ15" s="571" t="s">
        <v>439</v>
      </c>
      <c r="AR15" s="571" t="s">
        <v>440</v>
      </c>
      <c r="AS15" s="575" t="s">
        <v>441</v>
      </c>
      <c r="AT15" s="572" t="s">
        <v>442</v>
      </c>
      <c r="AU15" s="572" t="s">
        <v>443</v>
      </c>
      <c r="AV15" s="572" t="s">
        <v>444</v>
      </c>
      <c r="AW15" s="572" t="s">
        <v>445</v>
      </c>
      <c r="AX15" s="572" t="s">
        <v>446</v>
      </c>
      <c r="AY15" s="572" t="s">
        <v>439</v>
      </c>
      <c r="AZ15" s="572" t="s">
        <v>447</v>
      </c>
      <c r="BA15" s="572" t="s">
        <v>448</v>
      </c>
      <c r="BB15" s="572" t="s">
        <v>449</v>
      </c>
      <c r="BC15" s="572" t="s">
        <v>450</v>
      </c>
      <c r="BD15" s="572" t="s">
        <v>451</v>
      </c>
      <c r="BE15" s="572" t="s">
        <v>452</v>
      </c>
      <c r="BF15" s="572" t="s">
        <v>453</v>
      </c>
      <c r="BG15" s="397" t="str">
        <f>Year&amp;" YTD DSH Payments (From Pools 2 &amp; 3)"</f>
        <v>2023 YTD DSH Payments (From Pools 2 &amp; 3)</v>
      </c>
      <c r="BH15" s="397" t="str">
        <f>Year&amp;" Advance DSH Payments IGTs"</f>
        <v>2023 Advance DSH Payments IGTs</v>
      </c>
      <c r="BI15" s="572" t="str">
        <f>Year&amp;" Advance DSH Payments from Pool 1"</f>
        <v>2023 Advance DSH Payments from Pool 1</v>
      </c>
      <c r="BJ15" s="572" t="str">
        <f>Year&amp;" Final DSH Payment"</f>
        <v>2023 Final DSH Payment</v>
      </c>
      <c r="BK15" s="572" t="s">
        <v>454</v>
      </c>
      <c r="BL15" s="572" t="s">
        <v>455</v>
      </c>
      <c r="BM15" s="572" t="s">
        <v>456</v>
      </c>
      <c r="BN15" s="572" t="s">
        <v>457</v>
      </c>
      <c r="BO15" s="572" t="str">
        <f>Year&amp;" Final DSH IGT"</f>
        <v>2023 Final DSH IGT</v>
      </c>
      <c r="BP15" s="572" t="s">
        <v>458</v>
      </c>
      <c r="BQ15" s="572" t="s">
        <v>459</v>
      </c>
      <c r="BR15" s="576" t="s">
        <v>460</v>
      </c>
      <c r="BS15" s="577"/>
      <c r="BT15" s="578" t="s">
        <v>434</v>
      </c>
      <c r="BU15" s="579" t="s">
        <v>461</v>
      </c>
      <c r="BV15" s="578" t="s">
        <v>434</v>
      </c>
      <c r="BW15" s="580" t="s">
        <v>160</v>
      </c>
      <c r="BX15" s="581" t="s">
        <v>462</v>
      </c>
      <c r="BY15" s="581" t="s">
        <v>463</v>
      </c>
      <c r="BZ15" s="581" t="s">
        <v>464</v>
      </c>
      <c r="CA15" s="581" t="s">
        <v>465</v>
      </c>
      <c r="CB15" s="582" t="s">
        <v>466</v>
      </c>
      <c r="CC15" s="583" t="s">
        <v>467</v>
      </c>
      <c r="CD15" s="581" t="s">
        <v>468</v>
      </c>
      <c r="CE15" s="581" t="s">
        <v>469</v>
      </c>
      <c r="CF15" s="581" t="s">
        <v>470</v>
      </c>
      <c r="CG15" s="581" t="s">
        <v>466</v>
      </c>
      <c r="CH15" s="581" t="str">
        <f>Year&amp;" Total DSH Payment Including Pass 3"</f>
        <v>2023 Total DSH Payment Including Pass 3</v>
      </c>
      <c r="CI15" s="584" t="s">
        <v>277</v>
      </c>
      <c r="CJ15" s="585"/>
      <c r="CK15" s="586" t="s">
        <v>278</v>
      </c>
      <c r="CL15" s="587"/>
      <c r="CM15" s="588" t="s">
        <v>471</v>
      </c>
      <c r="CN15" s="589"/>
      <c r="CP15" s="590" t="s">
        <v>142</v>
      </c>
      <c r="CQ15" s="591"/>
    </row>
    <row r="16" spans="1:105" x14ac:dyDescent="0.25">
      <c r="B16" s="592">
        <f>1</f>
        <v>1</v>
      </c>
      <c r="C16" s="593" t="s">
        <v>472</v>
      </c>
      <c r="D16" s="594" t="s">
        <v>472</v>
      </c>
      <c r="E16" s="594" t="s">
        <v>473</v>
      </c>
      <c r="F16" s="407" t="s">
        <v>474</v>
      </c>
      <c r="G16" s="408" t="s">
        <v>475</v>
      </c>
      <c r="H16" s="408" t="s">
        <v>22</v>
      </c>
      <c r="I16" s="408" t="s">
        <v>26</v>
      </c>
      <c r="J16" s="408" t="s">
        <v>31</v>
      </c>
      <c r="K16" s="408" t="s">
        <v>35</v>
      </c>
      <c r="L16" s="408" t="s">
        <v>35</v>
      </c>
      <c r="M16" s="408" t="s">
        <v>35</v>
      </c>
      <c r="N16" s="595" t="str">
        <f t="shared" ref="N16:N47" si="18">IFERROR(IF(I16="Public",IF(J16="Rural","Yes","No"),IF(J16="","","No")),"")</f>
        <v>No</v>
      </c>
      <c r="O16" s="596">
        <v>803</v>
      </c>
      <c r="P16" s="596">
        <v>6452</v>
      </c>
      <c r="Q16" s="597">
        <v>0.28719600030671633</v>
      </c>
      <c r="R16" s="596">
        <f>IFERROR(P16*Q16,"")</f>
        <v>1852.9885939789337</v>
      </c>
      <c r="S16" s="596">
        <f>IFERROR(O16+R16,"")</f>
        <v>2655.9885939789337</v>
      </c>
      <c r="T16" s="596">
        <f t="shared" ref="T16:T47" si="19">IFERROR(IF(AND(H16="All Others",I16="Public"),S16*Non_TH_Hold_Harmless_Days_Adj,S16),"")</f>
        <v>2655.9885939789337</v>
      </c>
      <c r="U16" s="598">
        <f>IFERROR(T16/$T$9,"")</f>
        <v>6.213746888438478E-4</v>
      </c>
      <c r="V16" s="599">
        <f t="shared" ref="V16:V17" si="20">IFERROR(U16*Total_State_GR_Commitment,"")</f>
        <v>0</v>
      </c>
      <c r="W16" s="600">
        <v>5763745.8804144124</v>
      </c>
      <c r="X16" s="600">
        <v>0</v>
      </c>
      <c r="Y16" s="600">
        <v>3364457.2711876244</v>
      </c>
      <c r="Z16" s="600">
        <f>IFERROR(IF(X16-Y16&gt;0,X16-Y16,0),"")</f>
        <v>0</v>
      </c>
      <c r="AA16" s="600">
        <f>IFERROR(W16-Z16,"")</f>
        <v>5763745.8804144124</v>
      </c>
      <c r="AB16" s="601">
        <f t="shared" ref="AB16:AB47" si="21">IF(C16="","",IF(H16="Class 1 (TH)",W16/SUMIF(H:H,"Class 1 (TH)",W:W),0))</f>
        <v>0</v>
      </c>
      <c r="AC16" s="599">
        <v>451784.5304041208</v>
      </c>
      <c r="AD16" s="599">
        <f>MAX(IF(M16="Yes",'Assumption Inputs'!$C$40,'Assumption Inputs'!$C$41),AC16)</f>
        <v>6000000</v>
      </c>
      <c r="AE16" s="599">
        <f t="shared" ref="AE16:AE17" si="22">IF(AD16&gt;AA16/(1+State_Match_Rate/Federal_Match_Rate),AA16/(1+State_Match_Rate/Federal_Match_Rate),AD16)</f>
        <v>3738941.95262483</v>
      </c>
      <c r="AF16" s="599">
        <f t="shared" ref="AF16:AF47" si="23">IFERROR(IF(C16="","",IF(I16="Public",AE16/Federal_Match_Rate*State_Match_Rate,0)),0)</f>
        <v>0</v>
      </c>
      <c r="AG16" s="599">
        <f t="shared" ref="AG16:AG17" si="24">($AE$7*State_Match_Rate/Federal_Match_Rate)*AB16</f>
        <v>0</v>
      </c>
      <c r="AH16" s="599">
        <f>SUM(AE16:AF16)</f>
        <v>3738941.95262483</v>
      </c>
      <c r="AI16" s="599">
        <v>13467040.385196283</v>
      </c>
      <c r="AJ16" s="599">
        <v>11442236.457406702</v>
      </c>
      <c r="AK16" s="602">
        <f>IFERROR(AJ16/AI16,"")</f>
        <v>0.84964744517916801</v>
      </c>
      <c r="AL16" s="603">
        <f t="shared" ref="AL16:AL79" si="25">IF(AK16&gt;$AL$3,0,AI16*$AL$3-AJ16)</f>
        <v>0</v>
      </c>
      <c r="AM16" s="600">
        <f>IFERROR(AL16+$V16+AE16,"")</f>
        <v>3738941.95262483</v>
      </c>
      <c r="AN16" s="600">
        <f t="shared" ref="AN16:AN47" si="26">IF(L16="","",MAX(MIN(AM16,AA16),0))</f>
        <v>3738941.95262483</v>
      </c>
      <c r="AO16" s="600">
        <f t="shared" ref="AO16:AO79" si="27">IFERROR(AM16-AN16,"")</f>
        <v>0</v>
      </c>
      <c r="AP16" s="600">
        <f t="shared" ref="AP16:AP79" si="28">IFERROR(MAX(AA16-AN16,0),"")</f>
        <v>2024803.9277895824</v>
      </c>
      <c r="AQ16" s="600">
        <f>IFERROR(AP16/$AP$9*$AO$9,"")</f>
        <v>0</v>
      </c>
      <c r="AR16" s="600">
        <f>IFERROR(AN16+AQ16,"")</f>
        <v>3738941.95262483</v>
      </c>
      <c r="AS16" s="604">
        <f t="shared" ref="AS16:AS47" si="29">IFERROR(IF(C16="","",IF(I16="Public",AR16/Federal_Match_Rate*State_Match_Rate,0)),0)</f>
        <v>0</v>
      </c>
      <c r="AT16" s="605">
        <f t="shared" ref="AT16:AT47" si="30">IF(C16="","",($AR$7/Federal_Match_Rate*State_Match_Rate)*AB16)</f>
        <v>0</v>
      </c>
      <c r="AU16" s="600">
        <f t="shared" ref="AU16:AU47" si="31">IF(C16="","",AR16+AS16+AT16)</f>
        <v>3738941.95262483</v>
      </c>
      <c r="AV16" s="600">
        <f t="shared" ref="AV16:AV47" si="32">IF(C16="","",MAX(MIN(AU16,AA16),0))</f>
        <v>3738941.95262483</v>
      </c>
      <c r="AW16" s="600">
        <f t="shared" ref="AW16:AW47" si="33">IF(C16="","",AU16-AV16)</f>
        <v>0</v>
      </c>
      <c r="AX16" s="600">
        <f t="shared" ref="AX16:AX47" si="34">IF(C16="","",MAX(AA16-AV16,0))</f>
        <v>2024803.9277895824</v>
      </c>
      <c r="AY16" s="600">
        <f t="shared" ref="AY16:AY47" si="35">IF(C16="","",AX16/$AX$9*$AW$9)</f>
        <v>3.9839013336130807E-12</v>
      </c>
      <c r="AZ16" s="600">
        <f t="shared" ref="AZ16:AZ47" si="36">IF(C16="","",AV16+AY16)</f>
        <v>3738941.95262483</v>
      </c>
      <c r="BA16" s="600">
        <f t="shared" ref="BA16:BA47" si="37">IF(C16="","",IF(OR(I16="Public",I16= "State"),(AW16*State_Match_Rate)*-1,0))</f>
        <v>0</v>
      </c>
      <c r="BB16" s="600">
        <f t="shared" ref="BB16:BB47" si="38">IF(C16="","",IF(OR(I16="Public",I16= "State"),AY16*State_Match_Rate,0))</f>
        <v>0</v>
      </c>
      <c r="BC16" s="600">
        <f t="shared" ref="BC16:BC47" si="39">IF(C16="","",AB16*$AY$3*State_Match_Rate)</f>
        <v>0</v>
      </c>
      <c r="BD16" s="600">
        <f t="shared" ref="BD16:BD47" si="40">IF(C16="","",AS16+AT16+BB16+BC16+BA16)</f>
        <v>0</v>
      </c>
      <c r="BE16" s="600">
        <f t="shared" ref="BE16:BE47" si="41">IF(C16="","",MAX(AA16-AZ16,0))</f>
        <v>2024803.9277895824</v>
      </c>
      <c r="BF16" s="600">
        <f t="shared" ref="BF16:BF47" si="42">IF(C16="","",AZ16-BD16)</f>
        <v>3738941.95262483</v>
      </c>
      <c r="BG16" s="600">
        <v>0</v>
      </c>
      <c r="BH16" s="600">
        <v>0</v>
      </c>
      <c r="BI16" s="600">
        <f t="shared" ref="BI16:BI47" si="43">IF(C16="","",0)</f>
        <v>0</v>
      </c>
      <c r="BJ16" s="600">
        <f t="shared" ref="BJ16:BJ47" si="44">IF(C16="","",ROUND(AZ16-BG16,2))</f>
        <v>3738941.95</v>
      </c>
      <c r="BK16" s="600">
        <f t="shared" ref="BK16:BK47" si="45">IF(C16="","",BJ16*State_Match_Rate)</f>
        <v>1313490.3070349998</v>
      </c>
      <c r="BL16" s="600">
        <v>3738941.95</v>
      </c>
      <c r="BM16" s="600">
        <f t="shared" ref="BM16:BM47" si="46">IF(C16="","",IF(AND(I16="Private",BJ16&lt;0),(BJ16*-1)*State_Match_Rate,0))</f>
        <v>0</v>
      </c>
      <c r="BN16" s="600">
        <f t="shared" ref="BN16:BN47" si="47">IF(C16="","",AB16*$BN$3)</f>
        <v>0</v>
      </c>
      <c r="BO16" s="600">
        <f t="shared" ref="BO16:BO47" si="48">IF(C16="","",ROUND((BD16-BH16)+BN16,2))</f>
        <v>0</v>
      </c>
      <c r="BP16" s="600">
        <f t="shared" ref="BP16:BP47" si="49">IF(C16="","",BL16*State_Match_Rate)</f>
        <v>1313490.3070349998</v>
      </c>
      <c r="BQ16" s="600">
        <f t="shared" ref="BQ16:BQ47" si="50">IF(C16="","",AB16*$BR$3)</f>
        <v>0</v>
      </c>
      <c r="BR16" s="600">
        <f t="shared" ref="BR16:BR47" si="51">IF(C16="","",ROUND(IF(H16="Class 1 (TH)",BP16+BQ16,IF(AND(I16="Public",H16&lt;&gt;"Class 1 (TH)"),BP16,IF(I16="State",BP16,0))),2))</f>
        <v>0</v>
      </c>
      <c r="BT16" s="606">
        <f t="shared" ref="BT16:BT47" si="52">IF(AND(J16="Rural",I16="Public"),(AJ16+BL16+BG16)/AI16,1)</f>
        <v>1</v>
      </c>
      <c r="BU16" s="607">
        <f t="shared" ref="BU16:BU47" si="53">IF(AND(I16="Public",J16="Rural"),IF(BT16&gt;$BU$3,0,AI16*$BU$3-(AJ16+BL16+BG16)),0)</f>
        <v>0</v>
      </c>
      <c r="BV16" s="606">
        <f t="shared" ref="BV16:BV47" si="54">IFERROR(IF(AND(J16="Rural",I16="Private"),(AJ16+BL16+BG16)/AI16,1),"")</f>
        <v>1.1272839445922131</v>
      </c>
      <c r="BW16" s="607">
        <f t="shared" ref="BW16:BW47" si="55">IF(AND(I16="Private",J16="Rural"),IF(BV16&gt;=$BW$3,0,AI16*$BW$3-(AJ16+BL16+BG16)),0)</f>
        <v>0</v>
      </c>
      <c r="BX16" s="607">
        <f t="shared" ref="BX16:BX47" si="56">IF(C16="","",IF(AND(J16="Rural",I16="Public"),BE16*State_Match_Rate,0))</f>
        <v>0</v>
      </c>
      <c r="BY16" s="607">
        <f t="shared" ref="BY16:BY47" si="57">IF(C16="","",IF(AND(J16="Rural",I16="Public"),BE16,0))</f>
        <v>0</v>
      </c>
      <c r="BZ16" s="607">
        <f t="shared" ref="BZ16:BZ47" si="58">IF(C16="","",BX16/State_Match_Rate)</f>
        <v>0</v>
      </c>
      <c r="CA16" s="607">
        <f t="shared" ref="CA16:CA47" si="59">IFERROR(IF(C16="","",IF(BZ9&lt;Pass_3_Set_Aside,BZ16,ROUND((BZ16/$BZ$9)*(Pass_3_Set_Aside),2))),0)</f>
        <v>0</v>
      </c>
      <c r="CB16" s="607">
        <f>BX16</f>
        <v>0</v>
      </c>
      <c r="CC16" s="607">
        <f t="shared" ref="CC16:CC47" si="60">IF(C16="","",IF(AND(J16="Rural",I16="Private"),BE16*State_Match_Rate,0))</f>
        <v>711313.61983248021</v>
      </c>
      <c r="CD16" s="607">
        <f t="shared" ref="CD16:CD47" si="61">IF(C16="","",IF(AND(J16="Rural",I16="Private"),BE16,0))</f>
        <v>2024803.9277895824</v>
      </c>
      <c r="CE16" s="607">
        <f t="shared" ref="CE16:CE47" si="62">IF(C16="","",CC16/State_Match_Rate)</f>
        <v>2024803.9277895824</v>
      </c>
      <c r="CF16" s="607">
        <f t="shared" ref="CF16:CF47" si="63">ROUND((CE16/$CE$9)*((Pass_3_Set_Aside)-$CA$9)*$CF$4*Federal_Match_Rate,2)</f>
        <v>975900.76</v>
      </c>
      <c r="CG16" s="608">
        <f t="shared" ref="CG16:CG47" si="64">($CF$9/Federal_Match_Rate*State_Match_Rate)*AB16</f>
        <v>0</v>
      </c>
      <c r="CH16" s="607">
        <f t="shared" ref="CH16:CH47" si="65">IF(C16="","",CA16+BL16+BG16+CF16+CG16)</f>
        <v>4714842.71</v>
      </c>
      <c r="CI16" s="609"/>
      <c r="CK16" s="610" t="str">
        <f>IF(BJ16&lt;0, "Yes", "")</f>
        <v/>
      </c>
      <c r="CL16" s="611" t="str">
        <f>IF(CK16="","",COUNTIFS($CK$16:CK16,"Yes")+MAX(State!AD:AD))</f>
        <v/>
      </c>
      <c r="CM16" s="612" t="b">
        <f>IF(C16="", "", AND(INDEX('Summary Dynamic'!$D$8:$D$10, MATCH(H16, 'Summary Dynamic'!$C$8:$C$10, 0))="Include", INDEX('Summary Dynamic'!$D$12:$D$14, MATCH(I16, 'Summary Dynamic'!$C$12:$C$14, 0))="Include", INDEX('Summary Dynamic'!$D$16:$D$17, MATCH(J16, 'Summary Dynamic'!$C$16:$C$17, 0))="Include", INDEX('Summary Dynamic'!$D$19:$D$20, MATCH(K16, 'Summary Dynamic'!$C$19:$C$20, 0))="Include", INDEX('Summary Dynamic'!$D$25:$D$26, MATCH(L16, 'Summary Dynamic'!$C$25:$C$26, 0))="Include",'Summary Dynamic'!$D$23="Include"))</f>
        <v>1</v>
      </c>
      <c r="CN16" s="613">
        <f>IFERROR(IF(CM16=TRUE, COUNTIFS($CM$16:CM16, TRUE), ""), "")</f>
        <v>1</v>
      </c>
      <c r="CP16" s="614" t="str">
        <f t="shared" ref="CP16:CP47" si="66">IF(H16="Class 1 (TH)","Urban Public Class 1",IF(AND(OR(H16="Class 2", H16="All Others"),I16="Public",J16="Rural"),"Rural Public",IF(AND(OR(H16="Class 2",H16="All Others"),I16="Public",J16="no"),"Non-Rural Public",IF(AND(I16="Private",K16="Yes"),"Children's Hospital",IF(AND(I16="Private",J16="Rural"),"Rural Private",IF(AND(I16="Private",K16="No"),"Non-Rural Private",0))))))</f>
        <v>Rural Private</v>
      </c>
      <c r="CY16" s="615"/>
      <c r="CZ16" s="616"/>
    </row>
    <row r="17" spans="2:104" x14ac:dyDescent="0.25">
      <c r="B17" s="617">
        <f t="shared" ref="B17:B80" si="67">IF(B16&lt;$C$8, B16+1, "")</f>
        <v>2</v>
      </c>
      <c r="C17" s="593" t="s">
        <v>61</v>
      </c>
      <c r="D17" s="594" t="s">
        <v>61</v>
      </c>
      <c r="E17" s="594" t="s">
        <v>476</v>
      </c>
      <c r="F17" s="407" t="s">
        <v>62</v>
      </c>
      <c r="G17" s="408" t="s">
        <v>282</v>
      </c>
      <c r="H17" s="408" t="s">
        <v>22</v>
      </c>
      <c r="I17" s="408" t="s">
        <v>26</v>
      </c>
      <c r="J17" s="408" t="s">
        <v>35</v>
      </c>
      <c r="K17" s="408" t="s">
        <v>35</v>
      </c>
      <c r="L17" s="408" t="s">
        <v>35</v>
      </c>
      <c r="M17" s="408" t="s">
        <v>35</v>
      </c>
      <c r="N17" s="595" t="str">
        <f t="shared" si="18"/>
        <v>No</v>
      </c>
      <c r="O17" s="596">
        <v>19020</v>
      </c>
      <c r="P17" s="596">
        <v>84749</v>
      </c>
      <c r="Q17" s="597">
        <v>0.34691269166851973</v>
      </c>
      <c r="R17" s="596">
        <f t="shared" ref="R17:R80" si="68">IFERROR(P17*Q17,"")</f>
        <v>29400.503706215379</v>
      </c>
      <c r="S17" s="596">
        <f t="shared" ref="S17:S80" si="69">IFERROR(O17+R17,"")</f>
        <v>48420.503706215379</v>
      </c>
      <c r="T17" s="596">
        <f t="shared" si="19"/>
        <v>48420.503706215379</v>
      </c>
      <c r="U17" s="598">
        <f t="shared" ref="U17:U80" si="70">IFERROR(T17/$T$9,"")</f>
        <v>1.1328089093574849E-2</v>
      </c>
      <c r="V17" s="599">
        <f t="shared" si="20"/>
        <v>0</v>
      </c>
      <c r="W17" s="600">
        <v>15309008.333862856</v>
      </c>
      <c r="X17" s="600">
        <v>0</v>
      </c>
      <c r="Y17" s="600">
        <v>14999852.660487648</v>
      </c>
      <c r="Z17" s="600">
        <f t="shared" ref="Z17:Z80" si="71">IFERROR(IF(X17-Y17&gt;0,X17-Y17,0),"")</f>
        <v>0</v>
      </c>
      <c r="AA17" s="600">
        <f t="shared" ref="AA17:AA80" si="72">IFERROR(W17-Z17,"")</f>
        <v>15309008.333862856</v>
      </c>
      <c r="AB17" s="601">
        <f t="shared" si="21"/>
        <v>0</v>
      </c>
      <c r="AC17" s="599">
        <v>0</v>
      </c>
      <c r="AD17" s="599">
        <f>MAX(IF(M17="Yes",'Assumption Inputs'!$C$40,'Assumption Inputs'!$C$41),AC17)</f>
        <v>6000000</v>
      </c>
      <c r="AE17" s="599">
        <f t="shared" si="22"/>
        <v>6000000</v>
      </c>
      <c r="AF17" s="599">
        <f t="shared" si="23"/>
        <v>0</v>
      </c>
      <c r="AG17" s="599">
        <f t="shared" si="24"/>
        <v>0</v>
      </c>
      <c r="AH17" s="599">
        <f t="shared" ref="AH17" si="73">SUM(AE17:AF17)</f>
        <v>6000000</v>
      </c>
      <c r="AI17" s="599">
        <v>110091534.9899359</v>
      </c>
      <c r="AJ17" s="599">
        <v>100782526.65607306</v>
      </c>
      <c r="AK17" s="602">
        <f t="shared" ref="AK17:AK80" si="74">IFERROR(AJ17/AI17,"")</f>
        <v>0.91544301444508125</v>
      </c>
      <c r="AL17" s="603">
        <f t="shared" si="25"/>
        <v>0</v>
      </c>
      <c r="AM17" s="600">
        <f t="shared" ref="AM17:AM80" si="75">IFERROR(AL17+$V17+AE17,"")</f>
        <v>6000000</v>
      </c>
      <c r="AN17" s="600">
        <f t="shared" si="26"/>
        <v>6000000</v>
      </c>
      <c r="AO17" s="600">
        <f t="shared" si="27"/>
        <v>0</v>
      </c>
      <c r="AP17" s="600">
        <f t="shared" si="28"/>
        <v>9309008.333862856</v>
      </c>
      <c r="AQ17" s="600">
        <f t="shared" ref="AQ17:AQ80" si="76">IFERROR(AP17/$AP$9*$AO$9,"")</f>
        <v>0</v>
      </c>
      <c r="AR17" s="600">
        <f t="shared" ref="AR17:AR80" si="77">IFERROR(AN17+AQ17,"")</f>
        <v>6000000</v>
      </c>
      <c r="AS17" s="604">
        <f t="shared" si="29"/>
        <v>0</v>
      </c>
      <c r="AT17" s="605">
        <f t="shared" si="30"/>
        <v>0</v>
      </c>
      <c r="AU17" s="600">
        <f t="shared" si="31"/>
        <v>6000000</v>
      </c>
      <c r="AV17" s="600">
        <f t="shared" si="32"/>
        <v>6000000</v>
      </c>
      <c r="AW17" s="600">
        <f t="shared" si="33"/>
        <v>0</v>
      </c>
      <c r="AX17" s="600">
        <f t="shared" si="34"/>
        <v>9309008.333862856</v>
      </c>
      <c r="AY17" s="600">
        <f t="shared" si="35"/>
        <v>1.831593183265768E-11</v>
      </c>
      <c r="AZ17" s="600">
        <f t="shared" si="36"/>
        <v>6000000</v>
      </c>
      <c r="BA17" s="600">
        <f t="shared" si="37"/>
        <v>0</v>
      </c>
      <c r="BB17" s="600">
        <f t="shared" si="38"/>
        <v>0</v>
      </c>
      <c r="BC17" s="600">
        <f t="shared" si="39"/>
        <v>0</v>
      </c>
      <c r="BD17" s="600">
        <f t="shared" si="40"/>
        <v>0</v>
      </c>
      <c r="BE17" s="600">
        <f t="shared" si="41"/>
        <v>9309008.333862856</v>
      </c>
      <c r="BF17" s="600">
        <f t="shared" si="42"/>
        <v>6000000</v>
      </c>
      <c r="BG17" s="600">
        <v>0</v>
      </c>
      <c r="BH17" s="600">
        <v>0</v>
      </c>
      <c r="BI17" s="600">
        <f t="shared" si="43"/>
        <v>0</v>
      </c>
      <c r="BJ17" s="600">
        <f t="shared" si="44"/>
        <v>6000000</v>
      </c>
      <c r="BK17" s="600">
        <f t="shared" si="45"/>
        <v>2107799.9999999995</v>
      </c>
      <c r="BL17" s="600">
        <v>6000000</v>
      </c>
      <c r="BM17" s="600">
        <f t="shared" si="46"/>
        <v>0</v>
      </c>
      <c r="BN17" s="600">
        <f t="shared" si="47"/>
        <v>0</v>
      </c>
      <c r="BO17" s="600">
        <f t="shared" si="48"/>
        <v>0</v>
      </c>
      <c r="BP17" s="600">
        <f t="shared" si="49"/>
        <v>2107799.9999999995</v>
      </c>
      <c r="BQ17" s="600">
        <f t="shared" si="50"/>
        <v>0</v>
      </c>
      <c r="BR17" s="600">
        <f t="shared" si="51"/>
        <v>0</v>
      </c>
      <c r="BT17" s="606">
        <f t="shared" si="52"/>
        <v>1</v>
      </c>
      <c r="BU17" s="607">
        <f t="shared" si="53"/>
        <v>0</v>
      </c>
      <c r="BV17" s="606">
        <f t="shared" si="54"/>
        <v>1</v>
      </c>
      <c r="BW17" s="607">
        <f t="shared" si="55"/>
        <v>0</v>
      </c>
      <c r="BX17" s="607">
        <f t="shared" si="56"/>
        <v>0</v>
      </c>
      <c r="BY17" s="607">
        <f t="shared" si="57"/>
        <v>0</v>
      </c>
      <c r="BZ17" s="607">
        <f t="shared" si="58"/>
        <v>0</v>
      </c>
      <c r="CA17" s="607">
        <f t="shared" si="59"/>
        <v>0</v>
      </c>
      <c r="CB17" s="607">
        <f t="shared" ref="CB17:CB80" si="78">BX17</f>
        <v>0</v>
      </c>
      <c r="CC17" s="607">
        <f t="shared" si="60"/>
        <v>0</v>
      </c>
      <c r="CD17" s="607">
        <f t="shared" si="61"/>
        <v>0</v>
      </c>
      <c r="CE17" s="607">
        <f t="shared" si="62"/>
        <v>0</v>
      </c>
      <c r="CF17" s="607">
        <f t="shared" si="63"/>
        <v>0</v>
      </c>
      <c r="CG17" s="607">
        <f t="shared" si="64"/>
        <v>0</v>
      </c>
      <c r="CH17" s="607">
        <f t="shared" si="65"/>
        <v>6000000</v>
      </c>
      <c r="CI17" s="609"/>
      <c r="CK17" s="610" t="str">
        <f t="shared" ref="CK17:CK80" si="79">IF(BJ17&lt;0, "Yes", "")</f>
        <v/>
      </c>
      <c r="CL17" s="611" t="str">
        <f>IF(CK17="","",COUNTIFS($CK$16:CK17,"Yes")+MAX(State!AD:AD))</f>
        <v/>
      </c>
      <c r="CM17" s="612" t="b">
        <f>IF(C17="", "", AND(INDEX('Summary Dynamic'!$D$8:$D$10, MATCH(H17, 'Summary Dynamic'!$C$8:$C$10, 0))="Include", INDEX('Summary Dynamic'!$D$12:$D$14, MATCH(I17, 'Summary Dynamic'!$C$12:$C$14, 0))="Include", INDEX('Summary Dynamic'!$D$16:$D$17, MATCH(J17, 'Summary Dynamic'!$C$16:$C$17, 0))="Include", INDEX('Summary Dynamic'!$D$19:$D$20, MATCH(K17, 'Summary Dynamic'!$C$19:$C$20, 0))="Include", INDEX('Summary Dynamic'!$D$25:$D$26, MATCH(L17, 'Summary Dynamic'!$C$25:$C$26, 0))="Include",'Summary Dynamic'!$D$23="Include"))</f>
        <v>1</v>
      </c>
      <c r="CN17" s="613">
        <f>IFERROR(IF(CM17=TRUE, COUNTIFS($CM$16:CM17, TRUE), ""), "")</f>
        <v>2</v>
      </c>
      <c r="CP17" s="614" t="str">
        <f t="shared" si="66"/>
        <v>Non-Rural Private</v>
      </c>
      <c r="CY17" s="615"/>
      <c r="CZ17" s="616"/>
    </row>
    <row r="18" spans="2:104" x14ac:dyDescent="0.25">
      <c r="B18" s="617">
        <f t="shared" si="67"/>
        <v>3</v>
      </c>
      <c r="C18" s="593" t="s">
        <v>67</v>
      </c>
      <c r="D18" s="594" t="s">
        <v>67</v>
      </c>
      <c r="E18" s="594" t="s">
        <v>477</v>
      </c>
      <c r="F18" s="407" t="s">
        <v>68</v>
      </c>
      <c r="G18" s="408" t="s">
        <v>282</v>
      </c>
      <c r="H18" s="408" t="s">
        <v>22</v>
      </c>
      <c r="I18" s="408" t="s">
        <v>26</v>
      </c>
      <c r="J18" s="408" t="s">
        <v>35</v>
      </c>
      <c r="K18" s="408" t="s">
        <v>35</v>
      </c>
      <c r="L18" s="408" t="s">
        <v>35</v>
      </c>
      <c r="M18" s="408" t="s">
        <v>37</v>
      </c>
      <c r="N18" s="595" t="str">
        <f t="shared" si="18"/>
        <v>No</v>
      </c>
      <c r="O18" s="596">
        <v>83938</v>
      </c>
      <c r="P18" s="596">
        <v>417466</v>
      </c>
      <c r="Q18" s="597">
        <v>0.24645200941602863</v>
      </c>
      <c r="R18" s="596">
        <f t="shared" si="68"/>
        <v>102885.33456287181</v>
      </c>
      <c r="S18" s="596">
        <f t="shared" si="69"/>
        <v>186823.33456287181</v>
      </c>
      <c r="T18" s="596">
        <f t="shared" si="19"/>
        <v>186823.33456287181</v>
      </c>
      <c r="U18" s="598">
        <f t="shared" si="70"/>
        <v>4.3707752226776052E-2</v>
      </c>
      <c r="V18" s="599">
        <f t="shared" ref="V18:V81" si="80">IFERROR(U18*Total_State_GR_Commitment,"")</f>
        <v>0</v>
      </c>
      <c r="W18" s="600">
        <v>222861757.65335429</v>
      </c>
      <c r="X18" s="600">
        <v>0</v>
      </c>
      <c r="Y18" s="600">
        <v>93719189.332621276</v>
      </c>
      <c r="Z18" s="600">
        <f t="shared" si="71"/>
        <v>0</v>
      </c>
      <c r="AA18" s="600">
        <f t="shared" si="72"/>
        <v>222861757.65335429</v>
      </c>
      <c r="AB18" s="601">
        <f t="shared" si="21"/>
        <v>0</v>
      </c>
      <c r="AC18" s="599">
        <v>3157451.4187858533</v>
      </c>
      <c r="AD18" s="599">
        <f>MAX(IF(M18="Yes",'Assumption Inputs'!$C$40,'Assumption Inputs'!$C$41),AC18)</f>
        <v>8000000</v>
      </c>
      <c r="AE18" s="599">
        <f t="shared" ref="AE18:AE81" si="81">IF(AD18&gt;AA18/(1+State_Match_Rate/Federal_Match_Rate),AA18/(1+State_Match_Rate/Federal_Match_Rate),AD18)</f>
        <v>8000000</v>
      </c>
      <c r="AF18" s="599">
        <f t="shared" si="23"/>
        <v>0</v>
      </c>
      <c r="AG18" s="599">
        <f t="shared" ref="AG18:AG81" si="82">($AE$7*State_Match_Rate/Federal_Match_Rate)*AB18</f>
        <v>0</v>
      </c>
      <c r="AH18" s="599">
        <f t="shared" ref="AH18:AH81" si="83">SUM(AE18:AF18)</f>
        <v>8000000</v>
      </c>
      <c r="AI18" s="599">
        <v>519947104.23151612</v>
      </c>
      <c r="AJ18" s="599">
        <v>305085346.57816195</v>
      </c>
      <c r="AK18" s="602">
        <f t="shared" si="74"/>
        <v>0.58676227657634383</v>
      </c>
      <c r="AL18" s="603">
        <f t="shared" si="25"/>
        <v>14144721.311215341</v>
      </c>
      <c r="AM18" s="600">
        <f t="shared" si="75"/>
        <v>22144721.311215341</v>
      </c>
      <c r="AN18" s="600">
        <f t="shared" si="26"/>
        <v>22144721.311215341</v>
      </c>
      <c r="AO18" s="600">
        <f t="shared" si="27"/>
        <v>0</v>
      </c>
      <c r="AP18" s="600">
        <f t="shared" si="28"/>
        <v>200717036.34213895</v>
      </c>
      <c r="AQ18" s="600">
        <f t="shared" si="76"/>
        <v>0</v>
      </c>
      <c r="AR18" s="600">
        <f t="shared" si="77"/>
        <v>22144721.311215341</v>
      </c>
      <c r="AS18" s="604">
        <f t="shared" si="29"/>
        <v>0</v>
      </c>
      <c r="AT18" s="605">
        <f t="shared" si="30"/>
        <v>0</v>
      </c>
      <c r="AU18" s="600">
        <f t="shared" si="31"/>
        <v>22144721.311215341</v>
      </c>
      <c r="AV18" s="600">
        <f t="shared" si="32"/>
        <v>22144721.311215341</v>
      </c>
      <c r="AW18" s="600">
        <f t="shared" si="33"/>
        <v>0</v>
      </c>
      <c r="AX18" s="600">
        <f t="shared" si="34"/>
        <v>200717036.34213895</v>
      </c>
      <c r="AY18" s="600">
        <f t="shared" si="35"/>
        <v>3.9492064282750183E-10</v>
      </c>
      <c r="AZ18" s="600">
        <f t="shared" si="36"/>
        <v>22144721.311215341</v>
      </c>
      <c r="BA18" s="600">
        <f t="shared" si="37"/>
        <v>0</v>
      </c>
      <c r="BB18" s="600">
        <f t="shared" si="38"/>
        <v>0</v>
      </c>
      <c r="BC18" s="600">
        <f t="shared" si="39"/>
        <v>0</v>
      </c>
      <c r="BD18" s="600">
        <f t="shared" si="40"/>
        <v>0</v>
      </c>
      <c r="BE18" s="600">
        <f t="shared" si="41"/>
        <v>200717036.34213895</v>
      </c>
      <c r="BF18" s="600">
        <f t="shared" si="42"/>
        <v>22144721.311215341</v>
      </c>
      <c r="BG18" s="600">
        <v>0</v>
      </c>
      <c r="BH18" s="600">
        <v>0</v>
      </c>
      <c r="BI18" s="600">
        <f t="shared" si="43"/>
        <v>0</v>
      </c>
      <c r="BJ18" s="600">
        <f t="shared" si="44"/>
        <v>22144721.309999999</v>
      </c>
      <c r="BK18" s="600">
        <f t="shared" si="45"/>
        <v>7779440.5962029984</v>
      </c>
      <c r="BL18" s="600">
        <v>22144721.309999999</v>
      </c>
      <c r="BM18" s="600">
        <f t="shared" si="46"/>
        <v>0</v>
      </c>
      <c r="BN18" s="600">
        <f t="shared" si="47"/>
        <v>0</v>
      </c>
      <c r="BO18" s="600">
        <f t="shared" si="48"/>
        <v>0</v>
      </c>
      <c r="BP18" s="600">
        <f t="shared" si="49"/>
        <v>7779440.5962029984</v>
      </c>
      <c r="BQ18" s="600">
        <f t="shared" si="50"/>
        <v>0</v>
      </c>
      <c r="BR18" s="600">
        <f t="shared" si="51"/>
        <v>0</v>
      </c>
      <c r="BT18" s="606">
        <f t="shared" si="52"/>
        <v>1</v>
      </c>
      <c r="BU18" s="607">
        <f t="shared" si="53"/>
        <v>0</v>
      </c>
      <c r="BV18" s="606">
        <f t="shared" si="54"/>
        <v>1</v>
      </c>
      <c r="BW18" s="607">
        <f t="shared" si="55"/>
        <v>0</v>
      </c>
      <c r="BX18" s="607">
        <f t="shared" si="56"/>
        <v>0</v>
      </c>
      <c r="BY18" s="607">
        <f t="shared" si="57"/>
        <v>0</v>
      </c>
      <c r="BZ18" s="607">
        <f t="shared" si="58"/>
        <v>0</v>
      </c>
      <c r="CA18" s="607">
        <f t="shared" si="59"/>
        <v>0</v>
      </c>
      <c r="CB18" s="607">
        <f t="shared" si="78"/>
        <v>0</v>
      </c>
      <c r="CC18" s="607">
        <f t="shared" si="60"/>
        <v>0</v>
      </c>
      <c r="CD18" s="607">
        <f t="shared" si="61"/>
        <v>0</v>
      </c>
      <c r="CE18" s="607">
        <f t="shared" si="62"/>
        <v>0</v>
      </c>
      <c r="CF18" s="607">
        <f t="shared" si="63"/>
        <v>0</v>
      </c>
      <c r="CG18" s="607">
        <f t="shared" si="64"/>
        <v>0</v>
      </c>
      <c r="CH18" s="607">
        <f t="shared" si="65"/>
        <v>22144721.309999999</v>
      </c>
      <c r="CI18" s="609"/>
      <c r="CK18" s="610" t="str">
        <f t="shared" si="79"/>
        <v/>
      </c>
      <c r="CL18" s="611" t="str">
        <f>IF(CK18="","",COUNTIFS($CK$16:CK18,"Yes")+MAX(State!AD:AD))</f>
        <v/>
      </c>
      <c r="CM18" s="612" t="b">
        <f>IF(C18="", "", AND(INDEX('Summary Dynamic'!$D$8:$D$10, MATCH(H18, 'Summary Dynamic'!$C$8:$C$10, 0))="Include", INDEX('Summary Dynamic'!$D$12:$D$14, MATCH(I18, 'Summary Dynamic'!$C$12:$C$14, 0))="Include", INDEX('Summary Dynamic'!$D$16:$D$17, MATCH(J18, 'Summary Dynamic'!$C$16:$C$17, 0))="Include", INDEX('Summary Dynamic'!$D$19:$D$20, MATCH(K18, 'Summary Dynamic'!$C$19:$C$20, 0))="Include", INDEX('Summary Dynamic'!$D$25:$D$26, MATCH(L18, 'Summary Dynamic'!$C$25:$C$26, 0))="Include",'Summary Dynamic'!$D$23="Include"))</f>
        <v>1</v>
      </c>
      <c r="CN18" s="613">
        <f>IFERROR(IF(CM18=TRUE, COUNTIFS($CM$16:CM18, TRUE), ""), "")</f>
        <v>3</v>
      </c>
      <c r="CP18" s="614" t="str">
        <f t="shared" si="66"/>
        <v>Non-Rural Private</v>
      </c>
      <c r="CY18" s="615"/>
      <c r="CZ18" s="616"/>
    </row>
    <row r="19" spans="2:104" x14ac:dyDescent="0.25">
      <c r="B19" s="617">
        <f t="shared" si="67"/>
        <v>4</v>
      </c>
      <c r="C19" s="593" t="s">
        <v>72</v>
      </c>
      <c r="D19" s="594" t="s">
        <v>72</v>
      </c>
      <c r="E19" s="594" t="s">
        <v>478</v>
      </c>
      <c r="F19" s="407" t="s">
        <v>73</v>
      </c>
      <c r="G19" s="408" t="s">
        <v>479</v>
      </c>
      <c r="H19" s="408" t="s">
        <v>22</v>
      </c>
      <c r="I19" s="408" t="s">
        <v>26</v>
      </c>
      <c r="J19" s="408" t="s">
        <v>35</v>
      </c>
      <c r="K19" s="408" t="s">
        <v>35</v>
      </c>
      <c r="L19" s="408" t="s">
        <v>35</v>
      </c>
      <c r="M19" s="408" t="s">
        <v>37</v>
      </c>
      <c r="N19" s="595" t="str">
        <f t="shared" si="18"/>
        <v>No</v>
      </c>
      <c r="O19" s="596">
        <v>10932</v>
      </c>
      <c r="P19" s="596">
        <v>81728</v>
      </c>
      <c r="Q19" s="597">
        <v>0.27288590800875362</v>
      </c>
      <c r="R19" s="596">
        <f t="shared" si="68"/>
        <v>22302.419489739415</v>
      </c>
      <c r="S19" s="596">
        <f t="shared" si="69"/>
        <v>33234.419489739419</v>
      </c>
      <c r="T19" s="596">
        <f t="shared" si="19"/>
        <v>33234.419489739419</v>
      </c>
      <c r="U19" s="598">
        <f t="shared" si="70"/>
        <v>7.775269485779477E-3</v>
      </c>
      <c r="V19" s="599">
        <f t="shared" si="80"/>
        <v>0</v>
      </c>
      <c r="W19" s="600">
        <v>12958482.491460085</v>
      </c>
      <c r="X19" s="600">
        <v>0</v>
      </c>
      <c r="Y19" s="600">
        <v>12538267.586062372</v>
      </c>
      <c r="Z19" s="600">
        <f t="shared" si="71"/>
        <v>0</v>
      </c>
      <c r="AA19" s="600">
        <f t="shared" si="72"/>
        <v>12958482.491460085</v>
      </c>
      <c r="AB19" s="601">
        <f t="shared" si="21"/>
        <v>0</v>
      </c>
      <c r="AC19" s="599">
        <v>0</v>
      </c>
      <c r="AD19" s="599">
        <f>MAX(IF(M19="Yes",'Assumption Inputs'!$C$40,'Assumption Inputs'!$C$41),AC19)</f>
        <v>8000000</v>
      </c>
      <c r="AE19" s="599">
        <f t="shared" si="81"/>
        <v>8000000</v>
      </c>
      <c r="AF19" s="599">
        <f t="shared" si="23"/>
        <v>0</v>
      </c>
      <c r="AG19" s="599">
        <f t="shared" si="82"/>
        <v>0</v>
      </c>
      <c r="AH19" s="599">
        <f t="shared" si="83"/>
        <v>8000000</v>
      </c>
      <c r="AI19" s="599">
        <v>70637118.317219004</v>
      </c>
      <c r="AJ19" s="599">
        <v>65678635.825758927</v>
      </c>
      <c r="AK19" s="602">
        <f t="shared" si="74"/>
        <v>0.92980344315304042</v>
      </c>
      <c r="AL19" s="603">
        <f t="shared" si="25"/>
        <v>0</v>
      </c>
      <c r="AM19" s="600">
        <f t="shared" si="75"/>
        <v>8000000</v>
      </c>
      <c r="AN19" s="600">
        <f t="shared" si="26"/>
        <v>8000000</v>
      </c>
      <c r="AO19" s="600">
        <f t="shared" si="27"/>
        <v>0</v>
      </c>
      <c r="AP19" s="600">
        <f t="shared" si="28"/>
        <v>4958482.4914600849</v>
      </c>
      <c r="AQ19" s="600">
        <f t="shared" si="76"/>
        <v>0</v>
      </c>
      <c r="AR19" s="600">
        <f t="shared" si="77"/>
        <v>8000000</v>
      </c>
      <c r="AS19" s="604">
        <f t="shared" si="29"/>
        <v>0</v>
      </c>
      <c r="AT19" s="605">
        <f t="shared" si="30"/>
        <v>0</v>
      </c>
      <c r="AU19" s="600">
        <f t="shared" si="31"/>
        <v>8000000</v>
      </c>
      <c r="AV19" s="600">
        <f t="shared" si="32"/>
        <v>8000000</v>
      </c>
      <c r="AW19" s="600">
        <f t="shared" si="33"/>
        <v>0</v>
      </c>
      <c r="AX19" s="600">
        <f t="shared" si="34"/>
        <v>4958482.4914600849</v>
      </c>
      <c r="AY19" s="600">
        <f t="shared" si="35"/>
        <v>9.7560582233707455E-12</v>
      </c>
      <c r="AZ19" s="600">
        <f t="shared" si="36"/>
        <v>8000000</v>
      </c>
      <c r="BA19" s="600">
        <f t="shared" si="37"/>
        <v>0</v>
      </c>
      <c r="BB19" s="600">
        <f t="shared" si="38"/>
        <v>0</v>
      </c>
      <c r="BC19" s="600">
        <f t="shared" si="39"/>
        <v>0</v>
      </c>
      <c r="BD19" s="600">
        <f t="shared" si="40"/>
        <v>0</v>
      </c>
      <c r="BE19" s="600">
        <f t="shared" si="41"/>
        <v>4958482.4914600849</v>
      </c>
      <c r="BF19" s="600">
        <f t="shared" si="42"/>
        <v>8000000</v>
      </c>
      <c r="BG19" s="600">
        <v>0</v>
      </c>
      <c r="BH19" s="600">
        <v>0</v>
      </c>
      <c r="BI19" s="600">
        <f t="shared" si="43"/>
        <v>0</v>
      </c>
      <c r="BJ19" s="600">
        <f t="shared" si="44"/>
        <v>8000000</v>
      </c>
      <c r="BK19" s="600">
        <f t="shared" si="45"/>
        <v>2810399.9999999995</v>
      </c>
      <c r="BL19" s="600">
        <v>8000000</v>
      </c>
      <c r="BM19" s="600">
        <f t="shared" si="46"/>
        <v>0</v>
      </c>
      <c r="BN19" s="600">
        <f t="shared" si="47"/>
        <v>0</v>
      </c>
      <c r="BO19" s="600">
        <f t="shared" si="48"/>
        <v>0</v>
      </c>
      <c r="BP19" s="600">
        <f t="shared" si="49"/>
        <v>2810399.9999999995</v>
      </c>
      <c r="BQ19" s="600">
        <f t="shared" si="50"/>
        <v>0</v>
      </c>
      <c r="BR19" s="600">
        <f t="shared" si="51"/>
        <v>0</v>
      </c>
      <c r="BT19" s="606">
        <f t="shared" si="52"/>
        <v>1</v>
      </c>
      <c r="BU19" s="607">
        <f t="shared" si="53"/>
        <v>0</v>
      </c>
      <c r="BV19" s="606">
        <f t="shared" si="54"/>
        <v>1</v>
      </c>
      <c r="BW19" s="607">
        <f t="shared" si="55"/>
        <v>0</v>
      </c>
      <c r="BX19" s="607">
        <f t="shared" si="56"/>
        <v>0</v>
      </c>
      <c r="BY19" s="607">
        <f t="shared" si="57"/>
        <v>0</v>
      </c>
      <c r="BZ19" s="607">
        <f t="shared" si="58"/>
        <v>0</v>
      </c>
      <c r="CA19" s="607">
        <f t="shared" si="59"/>
        <v>0</v>
      </c>
      <c r="CB19" s="607">
        <f t="shared" si="78"/>
        <v>0</v>
      </c>
      <c r="CC19" s="607">
        <f t="shared" si="60"/>
        <v>0</v>
      </c>
      <c r="CD19" s="607">
        <f t="shared" si="61"/>
        <v>0</v>
      </c>
      <c r="CE19" s="607">
        <f t="shared" si="62"/>
        <v>0</v>
      </c>
      <c r="CF19" s="607">
        <f t="shared" si="63"/>
        <v>0</v>
      </c>
      <c r="CG19" s="607">
        <f t="shared" si="64"/>
        <v>0</v>
      </c>
      <c r="CH19" s="607">
        <f t="shared" si="65"/>
        <v>8000000</v>
      </c>
      <c r="CI19" s="609"/>
      <c r="CK19" s="610" t="str">
        <f t="shared" si="79"/>
        <v/>
      </c>
      <c r="CL19" s="611" t="str">
        <f>IF(CK19="","",COUNTIFS($CK$16:CK19,"Yes")+MAX(State!AD:AD))</f>
        <v/>
      </c>
      <c r="CM19" s="612" t="b">
        <f>IF(C19="", "", AND(INDEX('Summary Dynamic'!$D$8:$D$10, MATCH(H19, 'Summary Dynamic'!$C$8:$C$10, 0))="Include", INDEX('Summary Dynamic'!$D$12:$D$14, MATCH(I19, 'Summary Dynamic'!$C$12:$C$14, 0))="Include", INDEX('Summary Dynamic'!$D$16:$D$17, MATCH(J19, 'Summary Dynamic'!$C$16:$C$17, 0))="Include", INDEX('Summary Dynamic'!$D$19:$D$20, MATCH(K19, 'Summary Dynamic'!$C$19:$C$20, 0))="Include", INDEX('Summary Dynamic'!$D$25:$D$26, MATCH(L19, 'Summary Dynamic'!$C$25:$C$26, 0))="Include",'Summary Dynamic'!$D$23="Include"))</f>
        <v>1</v>
      </c>
      <c r="CN19" s="613">
        <f>IFERROR(IF(CM19=TRUE, COUNTIFS($CM$16:CM19, TRUE), ""), "")</f>
        <v>4</v>
      </c>
      <c r="CP19" s="614" t="str">
        <f t="shared" si="66"/>
        <v>Non-Rural Private</v>
      </c>
      <c r="CY19" s="615"/>
      <c r="CZ19" s="616"/>
    </row>
    <row r="20" spans="2:104" x14ac:dyDescent="0.25">
      <c r="B20" s="617">
        <f t="shared" si="67"/>
        <v>5</v>
      </c>
      <c r="C20" s="593" t="s">
        <v>83</v>
      </c>
      <c r="D20" s="594" t="s">
        <v>83</v>
      </c>
      <c r="E20" s="594" t="s">
        <v>480</v>
      </c>
      <c r="F20" s="407" t="s">
        <v>481</v>
      </c>
      <c r="G20" s="408" t="s">
        <v>318</v>
      </c>
      <c r="H20" s="408" t="s">
        <v>22</v>
      </c>
      <c r="I20" s="408" t="s">
        <v>26</v>
      </c>
      <c r="J20" s="408" t="s">
        <v>35</v>
      </c>
      <c r="K20" s="408" t="s">
        <v>35</v>
      </c>
      <c r="L20" s="408" t="s">
        <v>35</v>
      </c>
      <c r="M20" s="408" t="s">
        <v>37</v>
      </c>
      <c r="N20" s="595" t="str">
        <f t="shared" si="18"/>
        <v>No</v>
      </c>
      <c r="O20" s="596">
        <v>20522</v>
      </c>
      <c r="P20" s="596">
        <v>163102</v>
      </c>
      <c r="Q20" s="597">
        <v>0.10228769753594982</v>
      </c>
      <c r="R20" s="596">
        <f t="shared" si="68"/>
        <v>16683.328043508489</v>
      </c>
      <c r="S20" s="596">
        <f t="shared" si="69"/>
        <v>37205.328043508489</v>
      </c>
      <c r="T20" s="596">
        <f t="shared" si="19"/>
        <v>37205.328043508489</v>
      </c>
      <c r="U20" s="598">
        <f t="shared" si="70"/>
        <v>8.7042727475477016E-3</v>
      </c>
      <c r="V20" s="599">
        <f t="shared" si="80"/>
        <v>0</v>
      </c>
      <c r="W20" s="600">
        <v>63426410.530240953</v>
      </c>
      <c r="X20" s="600">
        <v>0</v>
      </c>
      <c r="Y20" s="600">
        <v>26911488.81843264</v>
      </c>
      <c r="Z20" s="600">
        <f t="shared" si="71"/>
        <v>0</v>
      </c>
      <c r="AA20" s="600">
        <f t="shared" si="72"/>
        <v>63426410.530240953</v>
      </c>
      <c r="AB20" s="601">
        <f t="shared" si="21"/>
        <v>0</v>
      </c>
      <c r="AC20" s="599">
        <v>2432855.0490250522</v>
      </c>
      <c r="AD20" s="599">
        <f>MAX(IF(M20="Yes",'Assumption Inputs'!$C$40,'Assumption Inputs'!$C$41),AC20)</f>
        <v>8000000</v>
      </c>
      <c r="AE20" s="599">
        <f t="shared" si="81"/>
        <v>8000000</v>
      </c>
      <c r="AF20" s="599">
        <f t="shared" si="23"/>
        <v>0</v>
      </c>
      <c r="AG20" s="599">
        <f t="shared" si="82"/>
        <v>0</v>
      </c>
      <c r="AH20" s="599">
        <f t="shared" si="83"/>
        <v>8000000</v>
      </c>
      <c r="AI20" s="599">
        <v>129014958.64442116</v>
      </c>
      <c r="AJ20" s="599">
        <v>73588548.114180222</v>
      </c>
      <c r="AK20" s="602">
        <f t="shared" si="74"/>
        <v>0.57038772005499006</v>
      </c>
      <c r="AL20" s="603">
        <f t="shared" si="25"/>
        <v>5622305.5892480016</v>
      </c>
      <c r="AM20" s="600">
        <f t="shared" si="75"/>
        <v>13622305.589248002</v>
      </c>
      <c r="AN20" s="600">
        <f t="shared" si="26"/>
        <v>13622305.589248002</v>
      </c>
      <c r="AO20" s="600">
        <f t="shared" si="27"/>
        <v>0</v>
      </c>
      <c r="AP20" s="600">
        <f t="shared" si="28"/>
        <v>49804104.940992951</v>
      </c>
      <c r="AQ20" s="600">
        <f t="shared" si="76"/>
        <v>0</v>
      </c>
      <c r="AR20" s="600">
        <f t="shared" si="77"/>
        <v>13622305.589248002</v>
      </c>
      <c r="AS20" s="604">
        <f t="shared" si="29"/>
        <v>0</v>
      </c>
      <c r="AT20" s="605">
        <f t="shared" si="30"/>
        <v>0</v>
      </c>
      <c r="AU20" s="600">
        <f t="shared" si="31"/>
        <v>13622305.589248002</v>
      </c>
      <c r="AV20" s="600">
        <f t="shared" si="32"/>
        <v>13622305.589248002</v>
      </c>
      <c r="AW20" s="600">
        <f t="shared" si="33"/>
        <v>0</v>
      </c>
      <c r="AX20" s="600">
        <f t="shared" si="34"/>
        <v>49804104.940992951</v>
      </c>
      <c r="AY20" s="600">
        <f t="shared" si="35"/>
        <v>9.7992026472622925E-11</v>
      </c>
      <c r="AZ20" s="600">
        <f t="shared" si="36"/>
        <v>13622305.589248002</v>
      </c>
      <c r="BA20" s="600">
        <f t="shared" si="37"/>
        <v>0</v>
      </c>
      <c r="BB20" s="600">
        <f t="shared" si="38"/>
        <v>0</v>
      </c>
      <c r="BC20" s="600">
        <f t="shared" si="39"/>
        <v>0</v>
      </c>
      <c r="BD20" s="600">
        <f t="shared" si="40"/>
        <v>0</v>
      </c>
      <c r="BE20" s="600">
        <f t="shared" si="41"/>
        <v>49804104.940992951</v>
      </c>
      <c r="BF20" s="600">
        <f t="shared" si="42"/>
        <v>13622305.589248002</v>
      </c>
      <c r="BG20" s="600">
        <v>0</v>
      </c>
      <c r="BH20" s="600">
        <v>0</v>
      </c>
      <c r="BI20" s="600">
        <f t="shared" si="43"/>
        <v>0</v>
      </c>
      <c r="BJ20" s="600">
        <f t="shared" si="44"/>
        <v>13622305.59</v>
      </c>
      <c r="BK20" s="600">
        <f t="shared" si="45"/>
        <v>4785515.9537669988</v>
      </c>
      <c r="BL20" s="600">
        <v>13622305.59</v>
      </c>
      <c r="BM20" s="600">
        <f t="shared" si="46"/>
        <v>0</v>
      </c>
      <c r="BN20" s="600">
        <f t="shared" si="47"/>
        <v>0</v>
      </c>
      <c r="BO20" s="600">
        <f t="shared" si="48"/>
        <v>0</v>
      </c>
      <c r="BP20" s="600">
        <f t="shared" si="49"/>
        <v>4785515.9537669988</v>
      </c>
      <c r="BQ20" s="600">
        <f t="shared" si="50"/>
        <v>0</v>
      </c>
      <c r="BR20" s="600">
        <f t="shared" si="51"/>
        <v>0</v>
      </c>
      <c r="BT20" s="606">
        <f t="shared" si="52"/>
        <v>1</v>
      </c>
      <c r="BU20" s="607">
        <f t="shared" si="53"/>
        <v>0</v>
      </c>
      <c r="BV20" s="606">
        <f t="shared" si="54"/>
        <v>1</v>
      </c>
      <c r="BW20" s="607">
        <f t="shared" si="55"/>
        <v>0</v>
      </c>
      <c r="BX20" s="607">
        <f t="shared" si="56"/>
        <v>0</v>
      </c>
      <c r="BY20" s="607">
        <f t="shared" si="57"/>
        <v>0</v>
      </c>
      <c r="BZ20" s="607">
        <f t="shared" si="58"/>
        <v>0</v>
      </c>
      <c r="CA20" s="607">
        <f t="shared" si="59"/>
        <v>0</v>
      </c>
      <c r="CB20" s="607">
        <f t="shared" si="78"/>
        <v>0</v>
      </c>
      <c r="CC20" s="607">
        <f t="shared" si="60"/>
        <v>0</v>
      </c>
      <c r="CD20" s="607">
        <f t="shared" si="61"/>
        <v>0</v>
      </c>
      <c r="CE20" s="607">
        <f t="shared" si="62"/>
        <v>0</v>
      </c>
      <c r="CF20" s="607">
        <f t="shared" si="63"/>
        <v>0</v>
      </c>
      <c r="CG20" s="607">
        <f t="shared" si="64"/>
        <v>0</v>
      </c>
      <c r="CH20" s="607">
        <f t="shared" si="65"/>
        <v>13622305.59</v>
      </c>
      <c r="CI20" s="609"/>
      <c r="CK20" s="610" t="str">
        <f t="shared" si="79"/>
        <v/>
      </c>
      <c r="CL20" s="611" t="str">
        <f>IF(CK20="","",COUNTIFS($CK$16:CK20,"Yes")+MAX(State!AD:AD))</f>
        <v/>
      </c>
      <c r="CM20" s="612" t="b">
        <f>IF(C20="", "", AND(INDEX('Summary Dynamic'!$D$8:$D$10, MATCH(H20, 'Summary Dynamic'!$C$8:$C$10, 0))="Include", INDEX('Summary Dynamic'!$D$12:$D$14, MATCH(I20, 'Summary Dynamic'!$C$12:$C$14, 0))="Include", INDEX('Summary Dynamic'!$D$16:$D$17, MATCH(J20, 'Summary Dynamic'!$C$16:$C$17, 0))="Include", INDEX('Summary Dynamic'!$D$19:$D$20, MATCH(K20, 'Summary Dynamic'!$C$19:$C$20, 0))="Include", INDEX('Summary Dynamic'!$D$25:$D$26, MATCH(L20, 'Summary Dynamic'!$C$25:$C$26, 0))="Include",'Summary Dynamic'!$D$23="Include"))</f>
        <v>1</v>
      </c>
      <c r="CN20" s="613">
        <f>IFERROR(IF(CM20=TRUE, COUNTIFS($CM$16:CM20, TRUE), ""), "")</f>
        <v>5</v>
      </c>
      <c r="CP20" s="614" t="str">
        <f t="shared" si="66"/>
        <v>Non-Rural Private</v>
      </c>
      <c r="CY20" s="615"/>
      <c r="CZ20" s="616"/>
    </row>
    <row r="21" spans="2:104" x14ac:dyDescent="0.25">
      <c r="B21" s="617">
        <f t="shared" si="67"/>
        <v>6</v>
      </c>
      <c r="C21" s="593" t="s">
        <v>96</v>
      </c>
      <c r="D21" s="594" t="s">
        <v>96</v>
      </c>
      <c r="E21" s="594" t="s">
        <v>482</v>
      </c>
      <c r="F21" s="407" t="s">
        <v>483</v>
      </c>
      <c r="G21" s="408" t="s">
        <v>291</v>
      </c>
      <c r="H21" s="408" t="s">
        <v>22</v>
      </c>
      <c r="I21" s="408" t="s">
        <v>26</v>
      </c>
      <c r="J21" s="408" t="s">
        <v>35</v>
      </c>
      <c r="K21" s="408" t="s">
        <v>35</v>
      </c>
      <c r="L21" s="408" t="s">
        <v>35</v>
      </c>
      <c r="M21" s="408" t="s">
        <v>35</v>
      </c>
      <c r="N21" s="595" t="str">
        <f t="shared" si="18"/>
        <v>No</v>
      </c>
      <c r="O21" s="596">
        <v>11499</v>
      </c>
      <c r="P21" s="596">
        <v>47015</v>
      </c>
      <c r="Q21" s="597">
        <v>0.28369934672280051</v>
      </c>
      <c r="R21" s="596">
        <f t="shared" si="68"/>
        <v>13338.124786172466</v>
      </c>
      <c r="S21" s="596">
        <f t="shared" si="69"/>
        <v>24837.124786172466</v>
      </c>
      <c r="T21" s="596">
        <f t="shared" si="19"/>
        <v>24837.124786172466</v>
      </c>
      <c r="U21" s="598">
        <f t="shared" si="70"/>
        <v>5.81070292273482E-3</v>
      </c>
      <c r="V21" s="599">
        <f t="shared" si="80"/>
        <v>0</v>
      </c>
      <c r="W21" s="600">
        <v>7692169.6886541415</v>
      </c>
      <c r="X21" s="600">
        <v>0</v>
      </c>
      <c r="Y21" s="600">
        <v>12657684.149787329</v>
      </c>
      <c r="Z21" s="600">
        <f t="shared" si="71"/>
        <v>0</v>
      </c>
      <c r="AA21" s="600">
        <f t="shared" si="72"/>
        <v>7692169.6886541415</v>
      </c>
      <c r="AB21" s="601">
        <f t="shared" si="21"/>
        <v>0</v>
      </c>
      <c r="AC21" s="599">
        <v>0</v>
      </c>
      <c r="AD21" s="599">
        <f>MAX(IF(M21="Yes",'Assumption Inputs'!$C$40,'Assumption Inputs'!$C$41),AC21)</f>
        <v>6000000</v>
      </c>
      <c r="AE21" s="599">
        <f t="shared" si="81"/>
        <v>4989910.477029942</v>
      </c>
      <c r="AF21" s="599">
        <f t="shared" si="23"/>
        <v>0</v>
      </c>
      <c r="AG21" s="599">
        <f t="shared" si="82"/>
        <v>0</v>
      </c>
      <c r="AH21" s="599">
        <f t="shared" si="83"/>
        <v>4989910.477029942</v>
      </c>
      <c r="AI21" s="599">
        <v>67506442.056641296</v>
      </c>
      <c r="AJ21" s="599">
        <v>64804182.845017098</v>
      </c>
      <c r="AK21" s="602">
        <f t="shared" si="74"/>
        <v>0.95997035054288793</v>
      </c>
      <c r="AL21" s="603">
        <f t="shared" si="25"/>
        <v>0</v>
      </c>
      <c r="AM21" s="600">
        <f t="shared" si="75"/>
        <v>4989910.477029942</v>
      </c>
      <c r="AN21" s="600">
        <f t="shared" si="26"/>
        <v>4989910.477029942</v>
      </c>
      <c r="AO21" s="600">
        <f t="shared" si="27"/>
        <v>0</v>
      </c>
      <c r="AP21" s="600">
        <f t="shared" si="28"/>
        <v>2702259.2116241995</v>
      </c>
      <c r="AQ21" s="600">
        <f t="shared" si="76"/>
        <v>0</v>
      </c>
      <c r="AR21" s="600">
        <f t="shared" si="77"/>
        <v>4989910.477029942</v>
      </c>
      <c r="AS21" s="604">
        <f t="shared" si="29"/>
        <v>0</v>
      </c>
      <c r="AT21" s="605">
        <f t="shared" si="30"/>
        <v>0</v>
      </c>
      <c r="AU21" s="600">
        <f t="shared" si="31"/>
        <v>4989910.477029942</v>
      </c>
      <c r="AV21" s="600">
        <f t="shared" si="32"/>
        <v>4989910.477029942</v>
      </c>
      <c r="AW21" s="600">
        <f t="shared" si="33"/>
        <v>0</v>
      </c>
      <c r="AX21" s="600">
        <f t="shared" si="34"/>
        <v>2702259.2116241995</v>
      </c>
      <c r="AY21" s="600">
        <f t="shared" si="35"/>
        <v>5.3168279304506728E-12</v>
      </c>
      <c r="AZ21" s="600">
        <f t="shared" si="36"/>
        <v>4989910.477029942</v>
      </c>
      <c r="BA21" s="600">
        <f t="shared" si="37"/>
        <v>0</v>
      </c>
      <c r="BB21" s="600">
        <f t="shared" si="38"/>
        <v>0</v>
      </c>
      <c r="BC21" s="600">
        <f t="shared" si="39"/>
        <v>0</v>
      </c>
      <c r="BD21" s="600">
        <f t="shared" si="40"/>
        <v>0</v>
      </c>
      <c r="BE21" s="600">
        <f t="shared" si="41"/>
        <v>2702259.2116241995</v>
      </c>
      <c r="BF21" s="600">
        <f t="shared" si="42"/>
        <v>4989910.477029942</v>
      </c>
      <c r="BG21" s="600">
        <v>0</v>
      </c>
      <c r="BH21" s="600">
        <v>0</v>
      </c>
      <c r="BI21" s="600">
        <f t="shared" si="43"/>
        <v>0</v>
      </c>
      <c r="BJ21" s="600">
        <f t="shared" si="44"/>
        <v>4989910.4800000004</v>
      </c>
      <c r="BK21" s="600">
        <f t="shared" si="45"/>
        <v>1752955.5516239998</v>
      </c>
      <c r="BL21" s="600">
        <v>4989910.4800000004</v>
      </c>
      <c r="BM21" s="600">
        <f t="shared" si="46"/>
        <v>0</v>
      </c>
      <c r="BN21" s="600">
        <f t="shared" si="47"/>
        <v>0</v>
      </c>
      <c r="BO21" s="600">
        <f t="shared" si="48"/>
        <v>0</v>
      </c>
      <c r="BP21" s="600">
        <f t="shared" si="49"/>
        <v>1752955.5516239998</v>
      </c>
      <c r="BQ21" s="600">
        <f t="shared" si="50"/>
        <v>0</v>
      </c>
      <c r="BR21" s="600">
        <f t="shared" si="51"/>
        <v>0</v>
      </c>
      <c r="BT21" s="606">
        <f t="shared" si="52"/>
        <v>1</v>
      </c>
      <c r="BU21" s="607">
        <f t="shared" si="53"/>
        <v>0</v>
      </c>
      <c r="BV21" s="606">
        <f t="shared" si="54"/>
        <v>1</v>
      </c>
      <c r="BW21" s="607">
        <f t="shared" si="55"/>
        <v>0</v>
      </c>
      <c r="BX21" s="607">
        <f t="shared" si="56"/>
        <v>0</v>
      </c>
      <c r="BY21" s="607">
        <f t="shared" si="57"/>
        <v>0</v>
      </c>
      <c r="BZ21" s="607">
        <f t="shared" si="58"/>
        <v>0</v>
      </c>
      <c r="CA21" s="607">
        <f t="shared" si="59"/>
        <v>0</v>
      </c>
      <c r="CB21" s="607">
        <f t="shared" si="78"/>
        <v>0</v>
      </c>
      <c r="CC21" s="607">
        <f t="shared" si="60"/>
        <v>0</v>
      </c>
      <c r="CD21" s="607">
        <f t="shared" si="61"/>
        <v>0</v>
      </c>
      <c r="CE21" s="607">
        <f t="shared" si="62"/>
        <v>0</v>
      </c>
      <c r="CF21" s="607">
        <f t="shared" si="63"/>
        <v>0</v>
      </c>
      <c r="CG21" s="607">
        <f t="shared" si="64"/>
        <v>0</v>
      </c>
      <c r="CH21" s="607">
        <f t="shared" si="65"/>
        <v>4989910.4800000004</v>
      </c>
      <c r="CI21" s="609"/>
      <c r="CK21" s="610" t="str">
        <f t="shared" si="79"/>
        <v/>
      </c>
      <c r="CL21" s="611" t="str">
        <f>IF(CK21="","",COUNTIFS($CK$16:CK21,"Yes")+MAX(State!AD:AD))</f>
        <v/>
      </c>
      <c r="CM21" s="612" t="b">
        <f>IF(C21="", "", AND(INDEX('Summary Dynamic'!$D$8:$D$10, MATCH(H21, 'Summary Dynamic'!$C$8:$C$10, 0))="Include", INDEX('Summary Dynamic'!$D$12:$D$14, MATCH(I21, 'Summary Dynamic'!$C$12:$C$14, 0))="Include", INDEX('Summary Dynamic'!$D$16:$D$17, MATCH(J21, 'Summary Dynamic'!$C$16:$C$17, 0))="Include", INDEX('Summary Dynamic'!$D$19:$D$20, MATCH(K21, 'Summary Dynamic'!$C$19:$C$20, 0))="Include", INDEX('Summary Dynamic'!$D$25:$D$26, MATCH(L21, 'Summary Dynamic'!$C$25:$C$26, 0))="Include",'Summary Dynamic'!$D$23="Include"))</f>
        <v>1</v>
      </c>
      <c r="CN21" s="613">
        <f>IFERROR(IF(CM21=TRUE, COUNTIFS($CM$16:CM21, TRUE), ""), "")</f>
        <v>6</v>
      </c>
      <c r="CP21" s="614" t="str">
        <f t="shared" si="66"/>
        <v>Non-Rural Private</v>
      </c>
      <c r="CY21" s="615"/>
      <c r="CZ21" s="616"/>
    </row>
    <row r="22" spans="2:104" x14ac:dyDescent="0.25">
      <c r="B22" s="617">
        <f t="shared" si="67"/>
        <v>7</v>
      </c>
      <c r="C22" s="593" t="s">
        <v>98</v>
      </c>
      <c r="D22" s="594" t="s">
        <v>98</v>
      </c>
      <c r="E22" s="594" t="s">
        <v>484</v>
      </c>
      <c r="F22" s="407" t="s">
        <v>99</v>
      </c>
      <c r="G22" s="408" t="s">
        <v>485</v>
      </c>
      <c r="H22" s="408" t="s">
        <v>22</v>
      </c>
      <c r="I22" s="408" t="s">
        <v>26</v>
      </c>
      <c r="J22" s="408" t="s">
        <v>35</v>
      </c>
      <c r="K22" s="408" t="s">
        <v>35</v>
      </c>
      <c r="L22" s="408" t="s">
        <v>35</v>
      </c>
      <c r="M22" s="408" t="s">
        <v>37</v>
      </c>
      <c r="N22" s="595" t="str">
        <f t="shared" si="18"/>
        <v>No</v>
      </c>
      <c r="O22" s="596">
        <v>24588</v>
      </c>
      <c r="P22" s="596">
        <v>112684</v>
      </c>
      <c r="Q22" s="597">
        <v>0.21564030237651013</v>
      </c>
      <c r="R22" s="596">
        <f t="shared" si="68"/>
        <v>24299.211832994668</v>
      </c>
      <c r="S22" s="596">
        <f t="shared" si="69"/>
        <v>48887.211832994668</v>
      </c>
      <c r="T22" s="596">
        <f t="shared" si="19"/>
        <v>48887.211832994668</v>
      </c>
      <c r="U22" s="598">
        <f t="shared" si="70"/>
        <v>1.1437276541787465E-2</v>
      </c>
      <c r="V22" s="599">
        <f t="shared" si="80"/>
        <v>0</v>
      </c>
      <c r="W22" s="600">
        <v>16543872.324033005</v>
      </c>
      <c r="X22" s="600">
        <v>0</v>
      </c>
      <c r="Y22" s="600">
        <v>29474470.638325468</v>
      </c>
      <c r="Z22" s="600">
        <f t="shared" si="71"/>
        <v>0</v>
      </c>
      <c r="AA22" s="600">
        <f t="shared" si="72"/>
        <v>16543872.324033005</v>
      </c>
      <c r="AB22" s="601">
        <f t="shared" si="21"/>
        <v>0</v>
      </c>
      <c r="AC22" s="599">
        <v>0</v>
      </c>
      <c r="AD22" s="599">
        <f>MAX(IF(M22="Yes",'Assumption Inputs'!$C$40,'Assumption Inputs'!$C$41),AC22)</f>
        <v>8000000</v>
      </c>
      <c r="AE22" s="599">
        <f t="shared" si="81"/>
        <v>8000000</v>
      </c>
      <c r="AF22" s="599">
        <f t="shared" si="23"/>
        <v>0</v>
      </c>
      <c r="AG22" s="599">
        <f t="shared" si="82"/>
        <v>0</v>
      </c>
      <c r="AH22" s="599">
        <f t="shared" si="83"/>
        <v>8000000</v>
      </c>
      <c r="AI22" s="599">
        <v>116213515.14109506</v>
      </c>
      <c r="AJ22" s="599">
        <v>107669642.81706204</v>
      </c>
      <c r="AK22" s="602">
        <f t="shared" si="74"/>
        <v>0.92648125036352369</v>
      </c>
      <c r="AL22" s="603">
        <f t="shared" si="25"/>
        <v>0</v>
      </c>
      <c r="AM22" s="600">
        <f t="shared" si="75"/>
        <v>8000000</v>
      </c>
      <c r="AN22" s="600">
        <f t="shared" si="26"/>
        <v>8000000</v>
      </c>
      <c r="AO22" s="600">
        <f t="shared" si="27"/>
        <v>0</v>
      </c>
      <c r="AP22" s="600">
        <f t="shared" si="28"/>
        <v>8543872.3240330052</v>
      </c>
      <c r="AQ22" s="600">
        <f t="shared" si="76"/>
        <v>0</v>
      </c>
      <c r="AR22" s="600">
        <f t="shared" si="77"/>
        <v>8000000</v>
      </c>
      <c r="AS22" s="604">
        <f t="shared" si="29"/>
        <v>0</v>
      </c>
      <c r="AT22" s="605">
        <f t="shared" si="30"/>
        <v>0</v>
      </c>
      <c r="AU22" s="600">
        <f t="shared" si="31"/>
        <v>8000000</v>
      </c>
      <c r="AV22" s="600">
        <f t="shared" si="32"/>
        <v>8000000</v>
      </c>
      <c r="AW22" s="600">
        <f t="shared" si="33"/>
        <v>0</v>
      </c>
      <c r="AX22" s="600">
        <f t="shared" si="34"/>
        <v>8543872.3240330052</v>
      </c>
      <c r="AY22" s="600">
        <f t="shared" si="35"/>
        <v>1.6810489094167836E-11</v>
      </c>
      <c r="AZ22" s="600">
        <f t="shared" si="36"/>
        <v>8000000</v>
      </c>
      <c r="BA22" s="600">
        <f t="shared" si="37"/>
        <v>0</v>
      </c>
      <c r="BB22" s="600">
        <f t="shared" si="38"/>
        <v>0</v>
      </c>
      <c r="BC22" s="600">
        <f t="shared" si="39"/>
        <v>0</v>
      </c>
      <c r="BD22" s="600">
        <f t="shared" si="40"/>
        <v>0</v>
      </c>
      <c r="BE22" s="600">
        <f t="shared" si="41"/>
        <v>8543872.3240330052</v>
      </c>
      <c r="BF22" s="600">
        <f t="shared" si="42"/>
        <v>8000000</v>
      </c>
      <c r="BG22" s="600">
        <v>0</v>
      </c>
      <c r="BH22" s="600">
        <v>0</v>
      </c>
      <c r="BI22" s="600">
        <f t="shared" si="43"/>
        <v>0</v>
      </c>
      <c r="BJ22" s="600">
        <f t="shared" si="44"/>
        <v>8000000</v>
      </c>
      <c r="BK22" s="600">
        <f t="shared" si="45"/>
        <v>2810399.9999999995</v>
      </c>
      <c r="BL22" s="600">
        <v>8000000</v>
      </c>
      <c r="BM22" s="600">
        <f t="shared" si="46"/>
        <v>0</v>
      </c>
      <c r="BN22" s="600">
        <f t="shared" si="47"/>
        <v>0</v>
      </c>
      <c r="BO22" s="600">
        <f t="shared" si="48"/>
        <v>0</v>
      </c>
      <c r="BP22" s="600">
        <f t="shared" si="49"/>
        <v>2810399.9999999995</v>
      </c>
      <c r="BQ22" s="600">
        <f t="shared" si="50"/>
        <v>0</v>
      </c>
      <c r="BR22" s="600">
        <f t="shared" si="51"/>
        <v>0</v>
      </c>
      <c r="BT22" s="606">
        <f t="shared" si="52"/>
        <v>1</v>
      </c>
      <c r="BU22" s="607">
        <f t="shared" si="53"/>
        <v>0</v>
      </c>
      <c r="BV22" s="606">
        <f t="shared" si="54"/>
        <v>1</v>
      </c>
      <c r="BW22" s="607">
        <f t="shared" si="55"/>
        <v>0</v>
      </c>
      <c r="BX22" s="607">
        <f t="shared" si="56"/>
        <v>0</v>
      </c>
      <c r="BY22" s="607">
        <f t="shared" si="57"/>
        <v>0</v>
      </c>
      <c r="BZ22" s="607">
        <f t="shared" si="58"/>
        <v>0</v>
      </c>
      <c r="CA22" s="607">
        <f t="shared" si="59"/>
        <v>0</v>
      </c>
      <c r="CB22" s="607">
        <f t="shared" si="78"/>
        <v>0</v>
      </c>
      <c r="CC22" s="607">
        <f t="shared" si="60"/>
        <v>0</v>
      </c>
      <c r="CD22" s="607">
        <f t="shared" si="61"/>
        <v>0</v>
      </c>
      <c r="CE22" s="607">
        <f t="shared" si="62"/>
        <v>0</v>
      </c>
      <c r="CF22" s="607">
        <f t="shared" si="63"/>
        <v>0</v>
      </c>
      <c r="CG22" s="607">
        <f t="shared" si="64"/>
        <v>0</v>
      </c>
      <c r="CH22" s="607">
        <f t="shared" si="65"/>
        <v>8000000</v>
      </c>
      <c r="CI22" s="609"/>
      <c r="CK22" s="610" t="str">
        <f t="shared" si="79"/>
        <v/>
      </c>
      <c r="CL22" s="611" t="str">
        <f>IF(CK22="","",COUNTIFS($CK$16:CK22,"Yes")+MAX(State!AD:AD))</f>
        <v/>
      </c>
      <c r="CM22" s="612" t="b">
        <f>IF(C22="", "", AND(INDEX('Summary Dynamic'!$D$8:$D$10, MATCH(H22, 'Summary Dynamic'!$C$8:$C$10, 0))="Include", INDEX('Summary Dynamic'!$D$12:$D$14, MATCH(I22, 'Summary Dynamic'!$C$12:$C$14, 0))="Include", INDEX('Summary Dynamic'!$D$16:$D$17, MATCH(J22, 'Summary Dynamic'!$C$16:$C$17, 0))="Include", INDEX('Summary Dynamic'!$D$19:$D$20, MATCH(K22, 'Summary Dynamic'!$C$19:$C$20, 0))="Include", INDEX('Summary Dynamic'!$D$25:$D$26, MATCH(L22, 'Summary Dynamic'!$C$25:$C$26, 0))="Include",'Summary Dynamic'!$D$23="Include"))</f>
        <v>1</v>
      </c>
      <c r="CN22" s="613">
        <f>IFERROR(IF(CM22=TRUE, COUNTIFS($CM$16:CM22, TRUE), ""), "")</f>
        <v>7</v>
      </c>
      <c r="CP22" s="614" t="str">
        <f t="shared" si="66"/>
        <v>Non-Rural Private</v>
      </c>
      <c r="CY22" s="615"/>
      <c r="CZ22" s="616"/>
    </row>
    <row r="23" spans="2:104" x14ac:dyDescent="0.25">
      <c r="B23" s="617">
        <f t="shared" si="67"/>
        <v>8</v>
      </c>
      <c r="C23" s="593" t="s">
        <v>106</v>
      </c>
      <c r="D23" s="594" t="s">
        <v>106</v>
      </c>
      <c r="E23" s="594" t="s">
        <v>486</v>
      </c>
      <c r="F23" s="407" t="s">
        <v>487</v>
      </c>
      <c r="G23" s="408" t="s">
        <v>488</v>
      </c>
      <c r="H23" s="408" t="s">
        <v>22</v>
      </c>
      <c r="I23" s="408" t="s">
        <v>26</v>
      </c>
      <c r="J23" s="408" t="s">
        <v>35</v>
      </c>
      <c r="K23" s="408" t="s">
        <v>35</v>
      </c>
      <c r="L23" s="408" t="s">
        <v>35</v>
      </c>
      <c r="M23" s="408" t="s">
        <v>35</v>
      </c>
      <c r="N23" s="595" t="str">
        <f t="shared" si="18"/>
        <v>No</v>
      </c>
      <c r="O23" s="596">
        <v>5413</v>
      </c>
      <c r="P23" s="596">
        <v>39300</v>
      </c>
      <c r="Q23" s="597">
        <v>8.6298978305359209E-2</v>
      </c>
      <c r="R23" s="596">
        <f t="shared" si="68"/>
        <v>3391.5498474006167</v>
      </c>
      <c r="S23" s="596">
        <f t="shared" si="69"/>
        <v>8804.5498474006163</v>
      </c>
      <c r="T23" s="596">
        <f t="shared" si="19"/>
        <v>8804.5498474006163</v>
      </c>
      <c r="U23" s="598">
        <f t="shared" si="70"/>
        <v>2.059844848069441E-3</v>
      </c>
      <c r="V23" s="599">
        <f t="shared" si="80"/>
        <v>0</v>
      </c>
      <c r="W23" s="600">
        <v>7760192.0583738275</v>
      </c>
      <c r="X23" s="600">
        <v>0</v>
      </c>
      <c r="Y23" s="600">
        <v>4579957.1733696153</v>
      </c>
      <c r="Z23" s="600">
        <f t="shared" si="71"/>
        <v>0</v>
      </c>
      <c r="AA23" s="600">
        <f t="shared" si="72"/>
        <v>7760192.0583738275</v>
      </c>
      <c r="AB23" s="601">
        <f t="shared" si="21"/>
        <v>0</v>
      </c>
      <c r="AC23" s="599">
        <v>0</v>
      </c>
      <c r="AD23" s="599">
        <f>MAX(IF(M23="Yes",'Assumption Inputs'!$C$40,'Assumption Inputs'!$C$41),AC23)</f>
        <v>6000000</v>
      </c>
      <c r="AE23" s="599">
        <f t="shared" si="81"/>
        <v>5034036.5882671028</v>
      </c>
      <c r="AF23" s="599">
        <f t="shared" si="23"/>
        <v>0</v>
      </c>
      <c r="AG23" s="599">
        <f t="shared" si="82"/>
        <v>0</v>
      </c>
      <c r="AH23" s="599">
        <f t="shared" si="83"/>
        <v>5034036.5882671028</v>
      </c>
      <c r="AI23" s="599">
        <v>28673649.183603302</v>
      </c>
      <c r="AJ23" s="599">
        <v>25947493.713496577</v>
      </c>
      <c r="AK23" s="602">
        <f t="shared" si="74"/>
        <v>0.90492471144322828</v>
      </c>
      <c r="AL23" s="603">
        <f t="shared" si="25"/>
        <v>0</v>
      </c>
      <c r="AM23" s="600">
        <f t="shared" si="75"/>
        <v>5034036.5882671028</v>
      </c>
      <c r="AN23" s="600">
        <f t="shared" si="26"/>
        <v>5034036.5882671028</v>
      </c>
      <c r="AO23" s="600">
        <f t="shared" si="27"/>
        <v>0</v>
      </c>
      <c r="AP23" s="600">
        <f t="shared" si="28"/>
        <v>2726155.4701067246</v>
      </c>
      <c r="AQ23" s="600">
        <f t="shared" si="76"/>
        <v>0</v>
      </c>
      <c r="AR23" s="600">
        <f t="shared" si="77"/>
        <v>5034036.5882671028</v>
      </c>
      <c r="AS23" s="604">
        <f t="shared" si="29"/>
        <v>0</v>
      </c>
      <c r="AT23" s="605">
        <f t="shared" si="30"/>
        <v>0</v>
      </c>
      <c r="AU23" s="600">
        <f t="shared" si="31"/>
        <v>5034036.5882671028</v>
      </c>
      <c r="AV23" s="600">
        <f t="shared" si="32"/>
        <v>5034036.5882671028</v>
      </c>
      <c r="AW23" s="600">
        <f t="shared" si="33"/>
        <v>0</v>
      </c>
      <c r="AX23" s="600">
        <f t="shared" si="34"/>
        <v>2726155.4701067246</v>
      </c>
      <c r="AY23" s="600">
        <f t="shared" si="35"/>
        <v>5.3638449945378715E-12</v>
      </c>
      <c r="AZ23" s="600">
        <f t="shared" si="36"/>
        <v>5034036.5882671028</v>
      </c>
      <c r="BA23" s="600">
        <f t="shared" si="37"/>
        <v>0</v>
      </c>
      <c r="BB23" s="600">
        <f t="shared" si="38"/>
        <v>0</v>
      </c>
      <c r="BC23" s="600">
        <f t="shared" si="39"/>
        <v>0</v>
      </c>
      <c r="BD23" s="600">
        <f t="shared" si="40"/>
        <v>0</v>
      </c>
      <c r="BE23" s="600">
        <f t="shared" si="41"/>
        <v>2726155.4701067246</v>
      </c>
      <c r="BF23" s="600">
        <f t="shared" si="42"/>
        <v>5034036.5882671028</v>
      </c>
      <c r="BG23" s="600">
        <v>0</v>
      </c>
      <c r="BH23" s="600">
        <v>0</v>
      </c>
      <c r="BI23" s="600">
        <f t="shared" si="43"/>
        <v>0</v>
      </c>
      <c r="BJ23" s="600">
        <f t="shared" si="44"/>
        <v>5034036.59</v>
      </c>
      <c r="BK23" s="600">
        <f t="shared" si="45"/>
        <v>1768457.0540669996</v>
      </c>
      <c r="BL23" s="600">
        <v>5034036.59</v>
      </c>
      <c r="BM23" s="600">
        <f t="shared" si="46"/>
        <v>0</v>
      </c>
      <c r="BN23" s="600">
        <f t="shared" si="47"/>
        <v>0</v>
      </c>
      <c r="BO23" s="600">
        <f t="shared" si="48"/>
        <v>0</v>
      </c>
      <c r="BP23" s="600">
        <f t="shared" si="49"/>
        <v>1768457.0540669996</v>
      </c>
      <c r="BQ23" s="600">
        <f t="shared" si="50"/>
        <v>0</v>
      </c>
      <c r="BR23" s="600">
        <f t="shared" si="51"/>
        <v>0</v>
      </c>
      <c r="BT23" s="606">
        <f t="shared" si="52"/>
        <v>1</v>
      </c>
      <c r="BU23" s="607">
        <f t="shared" si="53"/>
        <v>0</v>
      </c>
      <c r="BV23" s="606">
        <f t="shared" si="54"/>
        <v>1</v>
      </c>
      <c r="BW23" s="607">
        <f t="shared" si="55"/>
        <v>0</v>
      </c>
      <c r="BX23" s="607">
        <f t="shared" si="56"/>
        <v>0</v>
      </c>
      <c r="BY23" s="607">
        <f t="shared" si="57"/>
        <v>0</v>
      </c>
      <c r="BZ23" s="607">
        <f t="shared" si="58"/>
        <v>0</v>
      </c>
      <c r="CA23" s="607">
        <f t="shared" si="59"/>
        <v>0</v>
      </c>
      <c r="CB23" s="607">
        <f t="shared" si="78"/>
        <v>0</v>
      </c>
      <c r="CC23" s="607">
        <f t="shared" si="60"/>
        <v>0</v>
      </c>
      <c r="CD23" s="607">
        <f t="shared" si="61"/>
        <v>0</v>
      </c>
      <c r="CE23" s="607">
        <f t="shared" si="62"/>
        <v>0</v>
      </c>
      <c r="CF23" s="607">
        <f t="shared" si="63"/>
        <v>0</v>
      </c>
      <c r="CG23" s="607">
        <f t="shared" si="64"/>
        <v>0</v>
      </c>
      <c r="CH23" s="607">
        <f t="shared" si="65"/>
        <v>5034036.59</v>
      </c>
      <c r="CI23" s="609"/>
      <c r="CK23" s="610" t="str">
        <f t="shared" si="79"/>
        <v/>
      </c>
      <c r="CL23" s="611" t="str">
        <f>IF(CK23="","",COUNTIFS($CK$16:CK23,"Yes")+MAX(State!AD:AD))</f>
        <v/>
      </c>
      <c r="CM23" s="612" t="b">
        <f>IF(C23="", "", AND(INDEX('Summary Dynamic'!$D$8:$D$10, MATCH(H23, 'Summary Dynamic'!$C$8:$C$10, 0))="Include", INDEX('Summary Dynamic'!$D$12:$D$14, MATCH(I23, 'Summary Dynamic'!$C$12:$C$14, 0))="Include", INDEX('Summary Dynamic'!$D$16:$D$17, MATCH(J23, 'Summary Dynamic'!$C$16:$C$17, 0))="Include", INDEX('Summary Dynamic'!$D$19:$D$20, MATCH(K23, 'Summary Dynamic'!$C$19:$C$20, 0))="Include", INDEX('Summary Dynamic'!$D$25:$D$26, MATCH(L23, 'Summary Dynamic'!$C$25:$C$26, 0))="Include",'Summary Dynamic'!$D$23="Include"))</f>
        <v>1</v>
      </c>
      <c r="CN23" s="613">
        <f>IFERROR(IF(CM23=TRUE, COUNTIFS($CM$16:CM23, TRUE), ""), "")</f>
        <v>8</v>
      </c>
      <c r="CP23" s="614" t="str">
        <f t="shared" si="66"/>
        <v>Non-Rural Private</v>
      </c>
      <c r="CY23" s="615"/>
      <c r="CZ23" s="616"/>
    </row>
    <row r="24" spans="2:104" x14ac:dyDescent="0.25">
      <c r="B24" s="617">
        <f t="shared" si="67"/>
        <v>9</v>
      </c>
      <c r="C24" s="593" t="s">
        <v>110</v>
      </c>
      <c r="D24" s="594" t="s">
        <v>110</v>
      </c>
      <c r="E24" s="594" t="s">
        <v>489</v>
      </c>
      <c r="F24" s="407" t="s">
        <v>490</v>
      </c>
      <c r="G24" s="408" t="s">
        <v>491</v>
      </c>
      <c r="H24" s="408" t="s">
        <v>22</v>
      </c>
      <c r="I24" s="408" t="s">
        <v>26</v>
      </c>
      <c r="J24" s="408" t="s">
        <v>35</v>
      </c>
      <c r="K24" s="408" t="s">
        <v>35</v>
      </c>
      <c r="L24" s="408" t="s">
        <v>35</v>
      </c>
      <c r="M24" s="408" t="s">
        <v>37</v>
      </c>
      <c r="N24" s="595" t="str">
        <f t="shared" si="18"/>
        <v>No</v>
      </c>
      <c r="O24" s="596">
        <v>28235</v>
      </c>
      <c r="P24" s="596">
        <v>126106</v>
      </c>
      <c r="Q24" s="597">
        <v>0.23417675196224641</v>
      </c>
      <c r="R24" s="596">
        <f t="shared" si="68"/>
        <v>29531.093482951044</v>
      </c>
      <c r="S24" s="596">
        <f t="shared" si="69"/>
        <v>57766.093482951044</v>
      </c>
      <c r="T24" s="596">
        <f t="shared" si="19"/>
        <v>57766.093482951044</v>
      </c>
      <c r="U24" s="598">
        <f t="shared" si="70"/>
        <v>1.3514511487385562E-2</v>
      </c>
      <c r="V24" s="599">
        <f t="shared" si="80"/>
        <v>0</v>
      </c>
      <c r="W24" s="600">
        <v>33582710.218196161</v>
      </c>
      <c r="X24" s="600">
        <v>0</v>
      </c>
      <c r="Y24" s="600">
        <v>10083575.418829419</v>
      </c>
      <c r="Z24" s="600">
        <f t="shared" si="71"/>
        <v>0</v>
      </c>
      <c r="AA24" s="600">
        <f t="shared" si="72"/>
        <v>33582710.218196161</v>
      </c>
      <c r="AB24" s="601">
        <f t="shared" si="21"/>
        <v>0</v>
      </c>
      <c r="AC24" s="599">
        <v>0</v>
      </c>
      <c r="AD24" s="599">
        <f>MAX(IF(M24="Yes",'Assumption Inputs'!$C$40,'Assumption Inputs'!$C$41),AC24)</f>
        <v>8000000</v>
      </c>
      <c r="AE24" s="599">
        <f t="shared" si="81"/>
        <v>8000000</v>
      </c>
      <c r="AF24" s="599">
        <f t="shared" si="23"/>
        <v>0</v>
      </c>
      <c r="AG24" s="599">
        <f t="shared" si="82"/>
        <v>0</v>
      </c>
      <c r="AH24" s="599">
        <f t="shared" si="83"/>
        <v>8000000</v>
      </c>
      <c r="AI24" s="599">
        <v>124109661.29622148</v>
      </c>
      <c r="AJ24" s="599">
        <v>98526951.078025311</v>
      </c>
      <c r="AK24" s="602">
        <f t="shared" si="74"/>
        <v>0.79387011493701465</v>
      </c>
      <c r="AL24" s="603">
        <f t="shared" si="25"/>
        <v>0</v>
      </c>
      <c r="AM24" s="600">
        <f t="shared" si="75"/>
        <v>8000000</v>
      </c>
      <c r="AN24" s="600">
        <f t="shared" si="26"/>
        <v>8000000</v>
      </c>
      <c r="AO24" s="600">
        <f t="shared" si="27"/>
        <v>0</v>
      </c>
      <c r="AP24" s="600">
        <f t="shared" si="28"/>
        <v>25582710.218196161</v>
      </c>
      <c r="AQ24" s="600">
        <f t="shared" si="76"/>
        <v>0</v>
      </c>
      <c r="AR24" s="600">
        <f t="shared" si="77"/>
        <v>8000000</v>
      </c>
      <c r="AS24" s="604">
        <f t="shared" si="29"/>
        <v>0</v>
      </c>
      <c r="AT24" s="605">
        <f t="shared" si="30"/>
        <v>0</v>
      </c>
      <c r="AU24" s="600">
        <f t="shared" si="31"/>
        <v>8000000</v>
      </c>
      <c r="AV24" s="600">
        <f t="shared" si="32"/>
        <v>8000000</v>
      </c>
      <c r="AW24" s="600">
        <f t="shared" si="33"/>
        <v>0</v>
      </c>
      <c r="AX24" s="600">
        <f t="shared" si="34"/>
        <v>25582710.218196161</v>
      </c>
      <c r="AY24" s="600">
        <f t="shared" si="35"/>
        <v>5.0335240838341602E-11</v>
      </c>
      <c r="AZ24" s="600">
        <f t="shared" si="36"/>
        <v>8000000</v>
      </c>
      <c r="BA24" s="600">
        <f t="shared" si="37"/>
        <v>0</v>
      </c>
      <c r="BB24" s="600">
        <f t="shared" si="38"/>
        <v>0</v>
      </c>
      <c r="BC24" s="600">
        <f t="shared" si="39"/>
        <v>0</v>
      </c>
      <c r="BD24" s="600">
        <f t="shared" si="40"/>
        <v>0</v>
      </c>
      <c r="BE24" s="600">
        <f t="shared" si="41"/>
        <v>25582710.218196161</v>
      </c>
      <c r="BF24" s="600">
        <f t="shared" si="42"/>
        <v>8000000</v>
      </c>
      <c r="BG24" s="600">
        <v>0</v>
      </c>
      <c r="BH24" s="600">
        <v>0</v>
      </c>
      <c r="BI24" s="600">
        <f t="shared" si="43"/>
        <v>0</v>
      </c>
      <c r="BJ24" s="600">
        <f t="shared" si="44"/>
        <v>8000000</v>
      </c>
      <c r="BK24" s="600">
        <f t="shared" si="45"/>
        <v>2810399.9999999995</v>
      </c>
      <c r="BL24" s="600">
        <v>8000000</v>
      </c>
      <c r="BM24" s="600">
        <f t="shared" si="46"/>
        <v>0</v>
      </c>
      <c r="BN24" s="600">
        <f t="shared" si="47"/>
        <v>0</v>
      </c>
      <c r="BO24" s="600">
        <f t="shared" si="48"/>
        <v>0</v>
      </c>
      <c r="BP24" s="600">
        <f t="shared" si="49"/>
        <v>2810399.9999999995</v>
      </c>
      <c r="BQ24" s="600">
        <f t="shared" si="50"/>
        <v>0</v>
      </c>
      <c r="BR24" s="600">
        <f t="shared" si="51"/>
        <v>0</v>
      </c>
      <c r="BT24" s="606">
        <f t="shared" si="52"/>
        <v>1</v>
      </c>
      <c r="BU24" s="607">
        <f t="shared" si="53"/>
        <v>0</v>
      </c>
      <c r="BV24" s="606">
        <f t="shared" si="54"/>
        <v>1</v>
      </c>
      <c r="BW24" s="607">
        <f t="shared" si="55"/>
        <v>0</v>
      </c>
      <c r="BX24" s="607">
        <f t="shared" si="56"/>
        <v>0</v>
      </c>
      <c r="BY24" s="607">
        <f t="shared" si="57"/>
        <v>0</v>
      </c>
      <c r="BZ24" s="607">
        <f t="shared" si="58"/>
        <v>0</v>
      </c>
      <c r="CA24" s="607">
        <f t="shared" si="59"/>
        <v>0</v>
      </c>
      <c r="CB24" s="607">
        <f t="shared" si="78"/>
        <v>0</v>
      </c>
      <c r="CC24" s="607">
        <f t="shared" si="60"/>
        <v>0</v>
      </c>
      <c r="CD24" s="607">
        <f t="shared" si="61"/>
        <v>0</v>
      </c>
      <c r="CE24" s="607">
        <f t="shared" si="62"/>
        <v>0</v>
      </c>
      <c r="CF24" s="607">
        <f t="shared" si="63"/>
        <v>0</v>
      </c>
      <c r="CG24" s="607">
        <f t="shared" si="64"/>
        <v>0</v>
      </c>
      <c r="CH24" s="607">
        <f t="shared" si="65"/>
        <v>8000000</v>
      </c>
      <c r="CI24" s="609"/>
      <c r="CK24" s="610" t="str">
        <f t="shared" si="79"/>
        <v/>
      </c>
      <c r="CL24" s="611" t="str">
        <f>IF(CK24="","",COUNTIFS($CK$16:CK24,"Yes")+MAX(State!AD:AD))</f>
        <v/>
      </c>
      <c r="CM24" s="612" t="b">
        <f>IF(C24="", "", AND(INDEX('Summary Dynamic'!$D$8:$D$10, MATCH(H24, 'Summary Dynamic'!$C$8:$C$10, 0))="Include", INDEX('Summary Dynamic'!$D$12:$D$14, MATCH(I24, 'Summary Dynamic'!$C$12:$C$14, 0))="Include", INDEX('Summary Dynamic'!$D$16:$D$17, MATCH(J24, 'Summary Dynamic'!$C$16:$C$17, 0))="Include", INDEX('Summary Dynamic'!$D$19:$D$20, MATCH(K24, 'Summary Dynamic'!$C$19:$C$20, 0))="Include", INDEX('Summary Dynamic'!$D$25:$D$26, MATCH(L24, 'Summary Dynamic'!$C$25:$C$26, 0))="Include",'Summary Dynamic'!$D$23="Include"))</f>
        <v>1</v>
      </c>
      <c r="CN24" s="613">
        <f>IFERROR(IF(CM24=TRUE, COUNTIFS($CM$16:CM24, TRUE), ""), "")</f>
        <v>9</v>
      </c>
      <c r="CP24" s="614" t="str">
        <f t="shared" si="66"/>
        <v>Non-Rural Private</v>
      </c>
      <c r="CY24" s="615"/>
      <c r="CZ24" s="616"/>
    </row>
    <row r="25" spans="2:104" x14ac:dyDescent="0.25">
      <c r="B25" s="617">
        <f t="shared" si="67"/>
        <v>10</v>
      </c>
      <c r="C25" s="593" t="s">
        <v>112</v>
      </c>
      <c r="D25" s="594" t="s">
        <v>112</v>
      </c>
      <c r="E25" s="594" t="s">
        <v>492</v>
      </c>
      <c r="F25" s="407" t="s">
        <v>113</v>
      </c>
      <c r="G25" s="408" t="s">
        <v>493</v>
      </c>
      <c r="H25" s="408" t="s">
        <v>22</v>
      </c>
      <c r="I25" s="408" t="s">
        <v>26</v>
      </c>
      <c r="J25" s="408" t="s">
        <v>35</v>
      </c>
      <c r="K25" s="408" t="s">
        <v>35</v>
      </c>
      <c r="L25" s="408" t="s">
        <v>35</v>
      </c>
      <c r="M25" s="408" t="s">
        <v>37</v>
      </c>
      <c r="N25" s="595" t="str">
        <f t="shared" si="18"/>
        <v>No</v>
      </c>
      <c r="O25" s="596">
        <v>13704</v>
      </c>
      <c r="P25" s="596">
        <v>83666</v>
      </c>
      <c r="Q25" s="597">
        <v>0.13621569929413874</v>
      </c>
      <c r="R25" s="596">
        <f t="shared" si="68"/>
        <v>11396.622697143412</v>
      </c>
      <c r="S25" s="596">
        <f t="shared" si="69"/>
        <v>25100.622697143412</v>
      </c>
      <c r="T25" s="596">
        <f t="shared" si="19"/>
        <v>25100.622697143412</v>
      </c>
      <c r="U25" s="598">
        <f t="shared" si="70"/>
        <v>5.8723488698641671E-3</v>
      </c>
      <c r="V25" s="599">
        <f t="shared" si="80"/>
        <v>0</v>
      </c>
      <c r="W25" s="600">
        <v>31458593.973459985</v>
      </c>
      <c r="X25" s="600">
        <v>0</v>
      </c>
      <c r="Y25" s="600">
        <v>15513560.007531082</v>
      </c>
      <c r="Z25" s="600">
        <f t="shared" si="71"/>
        <v>0</v>
      </c>
      <c r="AA25" s="600">
        <f t="shared" si="72"/>
        <v>31458593.973459985</v>
      </c>
      <c r="AB25" s="601">
        <f t="shared" si="21"/>
        <v>0</v>
      </c>
      <c r="AC25" s="599">
        <v>14761950.577723378</v>
      </c>
      <c r="AD25" s="599">
        <f>MAX(IF(M25="Yes",'Assumption Inputs'!$C$40,'Assumption Inputs'!$C$41),AC25)</f>
        <v>14761950.577723378</v>
      </c>
      <c r="AE25" s="599">
        <f t="shared" si="81"/>
        <v>14761950.577723378</v>
      </c>
      <c r="AF25" s="599">
        <f t="shared" si="23"/>
        <v>0</v>
      </c>
      <c r="AG25" s="599">
        <f t="shared" si="82"/>
        <v>0</v>
      </c>
      <c r="AH25" s="599">
        <f t="shared" si="83"/>
        <v>14761950.577723378</v>
      </c>
      <c r="AI25" s="599">
        <v>67977441.503817007</v>
      </c>
      <c r="AJ25" s="599">
        <v>51280798.108080395</v>
      </c>
      <c r="AK25" s="602">
        <f t="shared" si="74"/>
        <v>0.75437964379993505</v>
      </c>
      <c r="AL25" s="603">
        <f t="shared" si="25"/>
        <v>0</v>
      </c>
      <c r="AM25" s="600">
        <f t="shared" si="75"/>
        <v>14761950.577723378</v>
      </c>
      <c r="AN25" s="600">
        <f t="shared" si="26"/>
        <v>14761950.577723378</v>
      </c>
      <c r="AO25" s="600">
        <f t="shared" si="27"/>
        <v>0</v>
      </c>
      <c r="AP25" s="600">
        <f t="shared" si="28"/>
        <v>16696643.395736607</v>
      </c>
      <c r="AQ25" s="600">
        <f t="shared" si="76"/>
        <v>0</v>
      </c>
      <c r="AR25" s="600">
        <f t="shared" si="77"/>
        <v>14761950.577723378</v>
      </c>
      <c r="AS25" s="604">
        <f t="shared" si="29"/>
        <v>0</v>
      </c>
      <c r="AT25" s="605">
        <f t="shared" si="30"/>
        <v>0</v>
      </c>
      <c r="AU25" s="600">
        <f t="shared" si="31"/>
        <v>14761950.577723378</v>
      </c>
      <c r="AV25" s="600">
        <f t="shared" si="32"/>
        <v>14761950.577723378</v>
      </c>
      <c r="AW25" s="600">
        <f t="shared" si="33"/>
        <v>0</v>
      </c>
      <c r="AX25" s="600">
        <f t="shared" si="34"/>
        <v>16696643.395736607</v>
      </c>
      <c r="AY25" s="600">
        <f t="shared" si="35"/>
        <v>3.2851467235028807E-11</v>
      </c>
      <c r="AZ25" s="600">
        <f t="shared" si="36"/>
        <v>14761950.577723378</v>
      </c>
      <c r="BA25" s="600">
        <f t="shared" si="37"/>
        <v>0</v>
      </c>
      <c r="BB25" s="600">
        <f t="shared" si="38"/>
        <v>0</v>
      </c>
      <c r="BC25" s="600">
        <f t="shared" si="39"/>
        <v>0</v>
      </c>
      <c r="BD25" s="600">
        <f t="shared" si="40"/>
        <v>0</v>
      </c>
      <c r="BE25" s="600">
        <f t="shared" si="41"/>
        <v>16696643.395736607</v>
      </c>
      <c r="BF25" s="600">
        <f t="shared" si="42"/>
        <v>14761950.577723378</v>
      </c>
      <c r="BG25" s="600">
        <v>0</v>
      </c>
      <c r="BH25" s="600">
        <v>0</v>
      </c>
      <c r="BI25" s="600">
        <f t="shared" si="43"/>
        <v>0</v>
      </c>
      <c r="BJ25" s="600">
        <f t="shared" si="44"/>
        <v>14761950.58</v>
      </c>
      <c r="BK25" s="600">
        <f t="shared" si="45"/>
        <v>5185873.2387539996</v>
      </c>
      <c r="BL25" s="600">
        <v>14761950.58</v>
      </c>
      <c r="BM25" s="600">
        <f t="shared" si="46"/>
        <v>0</v>
      </c>
      <c r="BN25" s="600">
        <f t="shared" si="47"/>
        <v>0</v>
      </c>
      <c r="BO25" s="600">
        <f t="shared" si="48"/>
        <v>0</v>
      </c>
      <c r="BP25" s="600">
        <f t="shared" si="49"/>
        <v>5185873.2387539996</v>
      </c>
      <c r="BQ25" s="600">
        <f t="shared" si="50"/>
        <v>0</v>
      </c>
      <c r="BR25" s="600">
        <f t="shared" si="51"/>
        <v>0</v>
      </c>
      <c r="BT25" s="606">
        <f t="shared" si="52"/>
        <v>1</v>
      </c>
      <c r="BU25" s="607">
        <f t="shared" si="53"/>
        <v>0</v>
      </c>
      <c r="BV25" s="606">
        <f t="shared" si="54"/>
        <v>1</v>
      </c>
      <c r="BW25" s="607">
        <f t="shared" si="55"/>
        <v>0</v>
      </c>
      <c r="BX25" s="607">
        <f t="shared" si="56"/>
        <v>0</v>
      </c>
      <c r="BY25" s="607">
        <f t="shared" si="57"/>
        <v>0</v>
      </c>
      <c r="BZ25" s="607">
        <f t="shared" si="58"/>
        <v>0</v>
      </c>
      <c r="CA25" s="607">
        <f t="shared" si="59"/>
        <v>0</v>
      </c>
      <c r="CB25" s="607">
        <f t="shared" si="78"/>
        <v>0</v>
      </c>
      <c r="CC25" s="607">
        <f t="shared" si="60"/>
        <v>0</v>
      </c>
      <c r="CD25" s="607">
        <f t="shared" si="61"/>
        <v>0</v>
      </c>
      <c r="CE25" s="607">
        <f t="shared" si="62"/>
        <v>0</v>
      </c>
      <c r="CF25" s="607">
        <f t="shared" si="63"/>
        <v>0</v>
      </c>
      <c r="CG25" s="607">
        <f t="shared" si="64"/>
        <v>0</v>
      </c>
      <c r="CH25" s="607">
        <f t="shared" si="65"/>
        <v>14761950.58</v>
      </c>
      <c r="CI25" s="609"/>
      <c r="CK25" s="610" t="str">
        <f t="shared" si="79"/>
        <v/>
      </c>
      <c r="CL25" s="611" t="str">
        <f>IF(CK25="","",COUNTIFS($CK$16:CK25,"Yes")+MAX(State!AD:AD))</f>
        <v/>
      </c>
      <c r="CM25" s="612" t="b">
        <f>IF(C25="", "", AND(INDEX('Summary Dynamic'!$D$8:$D$10, MATCH(H25, 'Summary Dynamic'!$C$8:$C$10, 0))="Include", INDEX('Summary Dynamic'!$D$12:$D$14, MATCH(I25, 'Summary Dynamic'!$C$12:$C$14, 0))="Include", INDEX('Summary Dynamic'!$D$16:$D$17, MATCH(J25, 'Summary Dynamic'!$C$16:$C$17, 0))="Include", INDEX('Summary Dynamic'!$D$19:$D$20, MATCH(K25, 'Summary Dynamic'!$C$19:$C$20, 0))="Include", INDEX('Summary Dynamic'!$D$25:$D$26, MATCH(L25, 'Summary Dynamic'!$C$25:$C$26, 0))="Include",'Summary Dynamic'!$D$23="Include"))</f>
        <v>1</v>
      </c>
      <c r="CN25" s="613">
        <f>IFERROR(IF(CM25=TRUE, COUNTIFS($CM$16:CM25, TRUE), ""), "")</f>
        <v>10</v>
      </c>
      <c r="CP25" s="614" t="str">
        <f t="shared" si="66"/>
        <v>Non-Rural Private</v>
      </c>
      <c r="CY25" s="615"/>
      <c r="CZ25" s="616"/>
    </row>
    <row r="26" spans="2:104" x14ac:dyDescent="0.25">
      <c r="B26" s="617">
        <f t="shared" si="67"/>
        <v>11</v>
      </c>
      <c r="C26" s="593" t="s">
        <v>494</v>
      </c>
      <c r="D26" s="594" t="s">
        <v>494</v>
      </c>
      <c r="E26" s="594" t="s">
        <v>495</v>
      </c>
      <c r="F26" s="407" t="s">
        <v>496</v>
      </c>
      <c r="G26" s="408" t="s">
        <v>497</v>
      </c>
      <c r="H26" s="408" t="s">
        <v>22</v>
      </c>
      <c r="I26" s="408" t="s">
        <v>28</v>
      </c>
      <c r="J26" s="408" t="s">
        <v>31</v>
      </c>
      <c r="K26" s="408" t="s">
        <v>35</v>
      </c>
      <c r="L26" s="408" t="s">
        <v>35</v>
      </c>
      <c r="M26" s="408" t="s">
        <v>35</v>
      </c>
      <c r="N26" s="595" t="str">
        <f t="shared" si="18"/>
        <v>Yes</v>
      </c>
      <c r="O26" s="596">
        <v>16</v>
      </c>
      <c r="P26" s="596">
        <v>295</v>
      </c>
      <c r="Q26" s="597">
        <v>0</v>
      </c>
      <c r="R26" s="596">
        <f t="shared" si="68"/>
        <v>0</v>
      </c>
      <c r="S26" s="596">
        <f t="shared" si="69"/>
        <v>16</v>
      </c>
      <c r="T26" s="596">
        <f t="shared" si="19"/>
        <v>21.620799999999999</v>
      </c>
      <c r="U26" s="598">
        <f t="shared" si="70"/>
        <v>5.058236282720129E-6</v>
      </c>
      <c r="V26" s="599">
        <f t="shared" si="80"/>
        <v>0</v>
      </c>
      <c r="W26" s="600">
        <v>448125.08173796436</v>
      </c>
      <c r="X26" s="600">
        <v>0</v>
      </c>
      <c r="Y26" s="600">
        <v>233045.71701368387</v>
      </c>
      <c r="Z26" s="600">
        <f t="shared" si="71"/>
        <v>0</v>
      </c>
      <c r="AA26" s="600">
        <f t="shared" si="72"/>
        <v>448125.08173796436</v>
      </c>
      <c r="AB26" s="601">
        <f t="shared" si="21"/>
        <v>0</v>
      </c>
      <c r="AC26" s="599">
        <v>219427.52296684362</v>
      </c>
      <c r="AD26" s="599">
        <f>MAX(IF(M26="Yes",'Assumption Inputs'!$C$40,'Assumption Inputs'!$C$41),AC26)</f>
        <v>6000000</v>
      </c>
      <c r="AE26" s="599">
        <f t="shared" si="81"/>
        <v>290698.74052341754</v>
      </c>
      <c r="AF26" s="599">
        <f t="shared" si="23"/>
        <v>157426.34121454688</v>
      </c>
      <c r="AG26" s="599">
        <f t="shared" si="82"/>
        <v>0</v>
      </c>
      <c r="AH26" s="599">
        <f t="shared" si="83"/>
        <v>448125.08173796441</v>
      </c>
      <c r="AI26" s="599">
        <v>658056.54970485065</v>
      </c>
      <c r="AJ26" s="599">
        <v>658056.54970485077</v>
      </c>
      <c r="AK26" s="602">
        <f t="shared" si="74"/>
        <v>1.0000000000000002</v>
      </c>
      <c r="AL26" s="603">
        <f t="shared" si="25"/>
        <v>0</v>
      </c>
      <c r="AM26" s="600">
        <f t="shared" si="75"/>
        <v>290698.74052341754</v>
      </c>
      <c r="AN26" s="600">
        <f t="shared" si="26"/>
        <v>290698.74052341754</v>
      </c>
      <c r="AO26" s="600">
        <f t="shared" si="27"/>
        <v>0</v>
      </c>
      <c r="AP26" s="600">
        <f t="shared" si="28"/>
        <v>157426.34121454682</v>
      </c>
      <c r="AQ26" s="600">
        <f t="shared" si="76"/>
        <v>0</v>
      </c>
      <c r="AR26" s="600">
        <f t="shared" si="77"/>
        <v>290698.74052341754</v>
      </c>
      <c r="AS26" s="604">
        <f t="shared" si="29"/>
        <v>157426.34121454688</v>
      </c>
      <c r="AT26" s="605">
        <f t="shared" si="30"/>
        <v>0</v>
      </c>
      <c r="AU26" s="600">
        <f t="shared" si="31"/>
        <v>448125.08173796441</v>
      </c>
      <c r="AV26" s="600">
        <f t="shared" si="32"/>
        <v>448125.08173796436</v>
      </c>
      <c r="AW26" s="600">
        <f t="shared" si="33"/>
        <v>5.8207660913467407E-11</v>
      </c>
      <c r="AX26" s="600">
        <f t="shared" si="34"/>
        <v>0</v>
      </c>
      <c r="AY26" s="600">
        <f t="shared" si="35"/>
        <v>0</v>
      </c>
      <c r="AZ26" s="600">
        <f t="shared" si="36"/>
        <v>448125.08173796436</v>
      </c>
      <c r="BA26" s="600">
        <f t="shared" si="37"/>
        <v>-2.0448351278901097E-11</v>
      </c>
      <c r="BB26" s="600">
        <f t="shared" si="38"/>
        <v>0</v>
      </c>
      <c r="BC26" s="600">
        <f t="shared" si="39"/>
        <v>0</v>
      </c>
      <c r="BD26" s="600">
        <f t="shared" si="40"/>
        <v>157426.34121454685</v>
      </c>
      <c r="BE26" s="600">
        <f t="shared" si="41"/>
        <v>0</v>
      </c>
      <c r="BF26" s="600">
        <f t="shared" si="42"/>
        <v>290698.74052341748</v>
      </c>
      <c r="BG26" s="600">
        <v>0</v>
      </c>
      <c r="BH26" s="600">
        <v>0</v>
      </c>
      <c r="BI26" s="600">
        <f t="shared" si="43"/>
        <v>0</v>
      </c>
      <c r="BJ26" s="600">
        <f t="shared" si="44"/>
        <v>448125.08</v>
      </c>
      <c r="BK26" s="600">
        <f t="shared" si="45"/>
        <v>157426.34060399997</v>
      </c>
      <c r="BL26" s="600">
        <v>448125.08</v>
      </c>
      <c r="BM26" s="600">
        <f t="shared" si="46"/>
        <v>0</v>
      </c>
      <c r="BN26" s="600">
        <f t="shared" si="47"/>
        <v>0</v>
      </c>
      <c r="BO26" s="600">
        <f t="shared" si="48"/>
        <v>157426.34</v>
      </c>
      <c r="BP26" s="600">
        <f t="shared" si="49"/>
        <v>157426.34060399997</v>
      </c>
      <c r="BQ26" s="600">
        <f t="shared" si="50"/>
        <v>0</v>
      </c>
      <c r="BR26" s="600">
        <f t="shared" si="51"/>
        <v>157426.34</v>
      </c>
      <c r="BT26" s="606">
        <f t="shared" si="52"/>
        <v>1.6809826301417281</v>
      </c>
      <c r="BU26" s="607">
        <f t="shared" si="53"/>
        <v>0</v>
      </c>
      <c r="BV26" s="606">
        <f t="shared" si="54"/>
        <v>1</v>
      </c>
      <c r="BW26" s="607">
        <f t="shared" si="55"/>
        <v>0</v>
      </c>
      <c r="BX26" s="607">
        <f t="shared" si="56"/>
        <v>0</v>
      </c>
      <c r="BY26" s="607">
        <f t="shared" si="57"/>
        <v>0</v>
      </c>
      <c r="BZ26" s="607">
        <f t="shared" si="58"/>
        <v>0</v>
      </c>
      <c r="CA26" s="607">
        <f t="shared" si="59"/>
        <v>0</v>
      </c>
      <c r="CB26" s="607">
        <f t="shared" si="78"/>
        <v>0</v>
      </c>
      <c r="CC26" s="607">
        <f t="shared" si="60"/>
        <v>0</v>
      </c>
      <c r="CD26" s="607">
        <f t="shared" si="61"/>
        <v>0</v>
      </c>
      <c r="CE26" s="607">
        <f t="shared" si="62"/>
        <v>0</v>
      </c>
      <c r="CF26" s="607">
        <f t="shared" si="63"/>
        <v>0</v>
      </c>
      <c r="CG26" s="607">
        <f t="shared" si="64"/>
        <v>0</v>
      </c>
      <c r="CH26" s="607">
        <f t="shared" si="65"/>
        <v>448125.08</v>
      </c>
      <c r="CI26" s="609"/>
      <c r="CK26" s="610" t="str">
        <f t="shared" si="79"/>
        <v/>
      </c>
      <c r="CL26" s="611" t="str">
        <f>IF(CK26="","",COUNTIFS($CK$16:CK26,"Yes")+MAX(State!AD:AD))</f>
        <v/>
      </c>
      <c r="CM26" s="612" t="b">
        <f>IF(C26="", "", AND(INDEX('Summary Dynamic'!$D$8:$D$10, MATCH(H26, 'Summary Dynamic'!$C$8:$C$10, 0))="Include", INDEX('Summary Dynamic'!$D$12:$D$14, MATCH(I26, 'Summary Dynamic'!$C$12:$C$14, 0))="Include", INDEX('Summary Dynamic'!$D$16:$D$17, MATCH(J26, 'Summary Dynamic'!$C$16:$C$17, 0))="Include", INDEX('Summary Dynamic'!$D$19:$D$20, MATCH(K26, 'Summary Dynamic'!$C$19:$C$20, 0))="Include", INDEX('Summary Dynamic'!$D$25:$D$26, MATCH(L26, 'Summary Dynamic'!$C$25:$C$26, 0))="Include",'Summary Dynamic'!$D$23="Include"))</f>
        <v>1</v>
      </c>
      <c r="CN26" s="613">
        <f>IFERROR(IF(CM26=TRUE, COUNTIFS($CM$16:CM26, TRUE), ""), "")</f>
        <v>11</v>
      </c>
      <c r="CP26" s="614" t="str">
        <f t="shared" si="66"/>
        <v>Rural Public</v>
      </c>
      <c r="CY26" s="615"/>
      <c r="CZ26" s="616"/>
    </row>
    <row r="27" spans="2:104" x14ac:dyDescent="0.25">
      <c r="B27" s="617">
        <f t="shared" si="67"/>
        <v>12</v>
      </c>
      <c r="C27" s="593" t="s">
        <v>129</v>
      </c>
      <c r="D27" s="594" t="s">
        <v>129</v>
      </c>
      <c r="E27" s="594" t="s">
        <v>498</v>
      </c>
      <c r="F27" s="407" t="s">
        <v>130</v>
      </c>
      <c r="G27" s="408" t="s">
        <v>485</v>
      </c>
      <c r="H27" s="408" t="s">
        <v>22</v>
      </c>
      <c r="I27" s="408" t="s">
        <v>26</v>
      </c>
      <c r="J27" s="408" t="s">
        <v>35</v>
      </c>
      <c r="K27" s="408" t="s">
        <v>35</v>
      </c>
      <c r="L27" s="408" t="s">
        <v>37</v>
      </c>
      <c r="M27" s="408" t="s">
        <v>35</v>
      </c>
      <c r="N27" s="595" t="str">
        <f t="shared" si="18"/>
        <v>No</v>
      </c>
      <c r="O27" s="596">
        <v>13563</v>
      </c>
      <c r="P27" s="596">
        <v>32698</v>
      </c>
      <c r="Q27" s="597">
        <v>0.73816718108444124</v>
      </c>
      <c r="R27" s="596">
        <f t="shared" si="68"/>
        <v>24136.59048709906</v>
      </c>
      <c r="S27" s="596">
        <f t="shared" si="69"/>
        <v>37699.590487099063</v>
      </c>
      <c r="T27" s="596">
        <f t="shared" si="19"/>
        <v>37699.590487099063</v>
      </c>
      <c r="U27" s="598">
        <f t="shared" si="70"/>
        <v>8.8199065920564965E-3</v>
      </c>
      <c r="V27" s="599">
        <f t="shared" si="80"/>
        <v>0</v>
      </c>
      <c r="W27" s="600">
        <v>4161788.8108771802</v>
      </c>
      <c r="X27" s="600">
        <v>0</v>
      </c>
      <c r="Y27" s="600">
        <v>32606.44709977544</v>
      </c>
      <c r="Z27" s="600">
        <f t="shared" si="71"/>
        <v>0</v>
      </c>
      <c r="AA27" s="600">
        <f t="shared" si="72"/>
        <v>4161788.8108771802</v>
      </c>
      <c r="AB27" s="601">
        <f t="shared" si="21"/>
        <v>0</v>
      </c>
      <c r="AC27" s="599">
        <v>0</v>
      </c>
      <c r="AD27" s="599">
        <f>MAX(IF(M27="Yes",'Assumption Inputs'!$C$40,'Assumption Inputs'!$C$41),AC27)</f>
        <v>6000000</v>
      </c>
      <c r="AE27" s="599">
        <f t="shared" si="81"/>
        <v>2699752.4016160271</v>
      </c>
      <c r="AF27" s="599">
        <f t="shared" si="23"/>
        <v>0</v>
      </c>
      <c r="AG27" s="599">
        <f t="shared" si="82"/>
        <v>0</v>
      </c>
      <c r="AH27" s="599">
        <f t="shared" si="83"/>
        <v>2699752.4016160271</v>
      </c>
      <c r="AI27" s="599">
        <v>17696141.91170137</v>
      </c>
      <c r="AJ27" s="599">
        <v>16234105.502440216</v>
      </c>
      <c r="AK27" s="602">
        <f t="shared" si="74"/>
        <v>0.91738106438362144</v>
      </c>
      <c r="AL27" s="603">
        <f t="shared" si="25"/>
        <v>0</v>
      </c>
      <c r="AM27" s="600">
        <f t="shared" si="75"/>
        <v>2699752.4016160271</v>
      </c>
      <c r="AN27" s="600">
        <f t="shared" si="26"/>
        <v>2699752.4016160271</v>
      </c>
      <c r="AO27" s="600">
        <f t="shared" si="27"/>
        <v>0</v>
      </c>
      <c r="AP27" s="600">
        <f t="shared" si="28"/>
        <v>1462036.4092611531</v>
      </c>
      <c r="AQ27" s="600">
        <f t="shared" si="76"/>
        <v>0</v>
      </c>
      <c r="AR27" s="600">
        <f t="shared" si="77"/>
        <v>2699752.4016160271</v>
      </c>
      <c r="AS27" s="604">
        <f t="shared" si="29"/>
        <v>0</v>
      </c>
      <c r="AT27" s="605">
        <f t="shared" si="30"/>
        <v>0</v>
      </c>
      <c r="AU27" s="600">
        <f t="shared" si="31"/>
        <v>2699752.4016160271</v>
      </c>
      <c r="AV27" s="600">
        <f t="shared" si="32"/>
        <v>2699752.4016160271</v>
      </c>
      <c r="AW27" s="600">
        <f t="shared" si="33"/>
        <v>0</v>
      </c>
      <c r="AX27" s="600">
        <f t="shared" si="34"/>
        <v>1462036.4092611531</v>
      </c>
      <c r="AY27" s="600">
        <f t="shared" si="35"/>
        <v>2.8766285568227525E-12</v>
      </c>
      <c r="AZ27" s="600">
        <f t="shared" si="36"/>
        <v>2699752.4016160271</v>
      </c>
      <c r="BA27" s="600">
        <f t="shared" si="37"/>
        <v>0</v>
      </c>
      <c r="BB27" s="600">
        <f t="shared" si="38"/>
        <v>0</v>
      </c>
      <c r="BC27" s="600">
        <f t="shared" si="39"/>
        <v>0</v>
      </c>
      <c r="BD27" s="600">
        <f t="shared" si="40"/>
        <v>0</v>
      </c>
      <c r="BE27" s="600">
        <f t="shared" si="41"/>
        <v>1462036.4092611531</v>
      </c>
      <c r="BF27" s="600">
        <f t="shared" si="42"/>
        <v>2699752.4016160271</v>
      </c>
      <c r="BG27" s="600">
        <v>0</v>
      </c>
      <c r="BH27" s="600">
        <v>0</v>
      </c>
      <c r="BI27" s="600">
        <f t="shared" si="43"/>
        <v>0</v>
      </c>
      <c r="BJ27" s="600">
        <f t="shared" si="44"/>
        <v>2699752.4</v>
      </c>
      <c r="BK27" s="600">
        <f t="shared" si="45"/>
        <v>948423.01811999979</v>
      </c>
      <c r="BL27" s="600">
        <v>2699752.4</v>
      </c>
      <c r="BM27" s="600">
        <f t="shared" si="46"/>
        <v>0</v>
      </c>
      <c r="BN27" s="600">
        <f t="shared" si="47"/>
        <v>0</v>
      </c>
      <c r="BO27" s="600">
        <f t="shared" si="48"/>
        <v>0</v>
      </c>
      <c r="BP27" s="600">
        <f t="shared" si="49"/>
        <v>948423.01811999979</v>
      </c>
      <c r="BQ27" s="600">
        <f t="shared" si="50"/>
        <v>0</v>
      </c>
      <c r="BR27" s="600">
        <f t="shared" si="51"/>
        <v>0</v>
      </c>
      <c r="BT27" s="606">
        <f t="shared" si="52"/>
        <v>1</v>
      </c>
      <c r="BU27" s="607">
        <f t="shared" si="53"/>
        <v>0</v>
      </c>
      <c r="BV27" s="606">
        <f t="shared" si="54"/>
        <v>1</v>
      </c>
      <c r="BW27" s="607">
        <f t="shared" si="55"/>
        <v>0</v>
      </c>
      <c r="BX27" s="607">
        <f t="shared" si="56"/>
        <v>0</v>
      </c>
      <c r="BY27" s="607">
        <f t="shared" si="57"/>
        <v>0</v>
      </c>
      <c r="BZ27" s="607">
        <f t="shared" si="58"/>
        <v>0</v>
      </c>
      <c r="CA27" s="607">
        <f t="shared" si="59"/>
        <v>0</v>
      </c>
      <c r="CB27" s="607">
        <f t="shared" si="78"/>
        <v>0</v>
      </c>
      <c r="CC27" s="607">
        <f t="shared" si="60"/>
        <v>0</v>
      </c>
      <c r="CD27" s="607">
        <f t="shared" si="61"/>
        <v>0</v>
      </c>
      <c r="CE27" s="607">
        <f t="shared" si="62"/>
        <v>0</v>
      </c>
      <c r="CF27" s="607">
        <f t="shared" si="63"/>
        <v>0</v>
      </c>
      <c r="CG27" s="607">
        <f t="shared" si="64"/>
        <v>0</v>
      </c>
      <c r="CH27" s="607">
        <f t="shared" si="65"/>
        <v>2699752.4</v>
      </c>
      <c r="CI27" s="609"/>
      <c r="CK27" s="610" t="str">
        <f t="shared" si="79"/>
        <v/>
      </c>
      <c r="CL27" s="611" t="str">
        <f>IF(CK27="","",COUNTIFS($CK$16:CK27,"Yes")+MAX(State!AD:AD))</f>
        <v/>
      </c>
      <c r="CM27" s="612" t="b">
        <f>IF(C27="", "", AND(INDEX('Summary Dynamic'!$D$8:$D$10, MATCH(H27, 'Summary Dynamic'!$C$8:$C$10, 0))="Include", INDEX('Summary Dynamic'!$D$12:$D$14, MATCH(I27, 'Summary Dynamic'!$C$12:$C$14, 0))="Include", INDEX('Summary Dynamic'!$D$16:$D$17, MATCH(J27, 'Summary Dynamic'!$C$16:$C$17, 0))="Include", INDEX('Summary Dynamic'!$D$19:$D$20, MATCH(K27, 'Summary Dynamic'!$C$19:$C$20, 0))="Include", INDEX('Summary Dynamic'!$D$25:$D$26, MATCH(L27, 'Summary Dynamic'!$C$25:$C$26, 0))="Include",'Summary Dynamic'!$D$23="Include"))</f>
        <v>1</v>
      </c>
      <c r="CN27" s="613">
        <f>IFERROR(IF(CM27=TRUE, COUNTIFS($CM$16:CM27, TRUE), ""), "")</f>
        <v>12</v>
      </c>
      <c r="CP27" s="614" t="str">
        <f t="shared" si="66"/>
        <v>Non-Rural Private</v>
      </c>
      <c r="CY27" s="615"/>
      <c r="CZ27" s="616"/>
    </row>
    <row r="28" spans="2:104" x14ac:dyDescent="0.25">
      <c r="B28" s="617">
        <f t="shared" si="67"/>
        <v>13</v>
      </c>
      <c r="C28" s="593" t="s">
        <v>137</v>
      </c>
      <c r="D28" s="594" t="s">
        <v>137</v>
      </c>
      <c r="E28" s="594" t="s">
        <v>499</v>
      </c>
      <c r="F28" s="407" t="s">
        <v>138</v>
      </c>
      <c r="G28" s="408" t="s">
        <v>282</v>
      </c>
      <c r="H28" s="408" t="s">
        <v>22</v>
      </c>
      <c r="I28" s="408" t="s">
        <v>26</v>
      </c>
      <c r="J28" s="408" t="s">
        <v>35</v>
      </c>
      <c r="K28" s="408" t="s">
        <v>35</v>
      </c>
      <c r="L28" s="408" t="s">
        <v>37</v>
      </c>
      <c r="M28" s="408" t="s">
        <v>35</v>
      </c>
      <c r="N28" s="595" t="str">
        <f t="shared" si="18"/>
        <v>No</v>
      </c>
      <c r="O28" s="596">
        <v>15271</v>
      </c>
      <c r="P28" s="596">
        <v>34114</v>
      </c>
      <c r="Q28" s="597">
        <v>0.49165601431509404</v>
      </c>
      <c r="R28" s="596">
        <f t="shared" si="68"/>
        <v>16772.353272345117</v>
      </c>
      <c r="S28" s="596">
        <f t="shared" si="69"/>
        <v>32043.353272345117</v>
      </c>
      <c r="T28" s="596">
        <f t="shared" si="19"/>
        <v>32043.353272345117</v>
      </c>
      <c r="U28" s="598">
        <f t="shared" si="70"/>
        <v>7.4966167830142656E-3</v>
      </c>
      <c r="V28" s="599">
        <f t="shared" si="80"/>
        <v>0</v>
      </c>
      <c r="W28" s="600">
        <v>265686.91725980054</v>
      </c>
      <c r="X28" s="600">
        <v>0</v>
      </c>
      <c r="Y28" s="600">
        <v>4072.9387736575991</v>
      </c>
      <c r="Z28" s="600">
        <f t="shared" si="71"/>
        <v>0</v>
      </c>
      <c r="AA28" s="600">
        <f t="shared" si="72"/>
        <v>265686.91725980054</v>
      </c>
      <c r="AB28" s="601">
        <f t="shared" si="21"/>
        <v>0</v>
      </c>
      <c r="AC28" s="599">
        <v>0</v>
      </c>
      <c r="AD28" s="599">
        <f>MAX(IF(M28="Yes",'Assumption Inputs'!$C$40,'Assumption Inputs'!$C$41),AC28)</f>
        <v>6000000</v>
      </c>
      <c r="AE28" s="599">
        <f t="shared" si="81"/>
        <v>172351.10322643263</v>
      </c>
      <c r="AF28" s="599">
        <f t="shared" si="23"/>
        <v>0</v>
      </c>
      <c r="AG28" s="599">
        <f t="shared" si="82"/>
        <v>0</v>
      </c>
      <c r="AH28" s="599">
        <f t="shared" si="83"/>
        <v>172351.10322643263</v>
      </c>
      <c r="AI28" s="599">
        <v>13511872.960157411</v>
      </c>
      <c r="AJ28" s="599">
        <v>13418537.146124044</v>
      </c>
      <c r="AK28" s="602">
        <f t="shared" si="74"/>
        <v>0.99309231116155494</v>
      </c>
      <c r="AL28" s="603">
        <f t="shared" si="25"/>
        <v>0</v>
      </c>
      <c r="AM28" s="600">
        <f t="shared" si="75"/>
        <v>172351.10322643263</v>
      </c>
      <c r="AN28" s="600">
        <f t="shared" si="26"/>
        <v>172351.10322643263</v>
      </c>
      <c r="AO28" s="600">
        <f t="shared" si="27"/>
        <v>0</v>
      </c>
      <c r="AP28" s="600">
        <f t="shared" si="28"/>
        <v>93335.814033367904</v>
      </c>
      <c r="AQ28" s="600">
        <f t="shared" si="76"/>
        <v>0</v>
      </c>
      <c r="AR28" s="600">
        <f t="shared" si="77"/>
        <v>172351.10322643263</v>
      </c>
      <c r="AS28" s="604">
        <f t="shared" si="29"/>
        <v>0</v>
      </c>
      <c r="AT28" s="605">
        <f t="shared" si="30"/>
        <v>0</v>
      </c>
      <c r="AU28" s="600">
        <f t="shared" si="31"/>
        <v>172351.10322643263</v>
      </c>
      <c r="AV28" s="600">
        <f t="shared" si="32"/>
        <v>172351.10322643263</v>
      </c>
      <c r="AW28" s="600">
        <f t="shared" si="33"/>
        <v>0</v>
      </c>
      <c r="AX28" s="600">
        <f t="shared" si="34"/>
        <v>93335.814033367904</v>
      </c>
      <c r="AY28" s="600">
        <f t="shared" si="35"/>
        <v>1.8364280555664674E-13</v>
      </c>
      <c r="AZ28" s="600">
        <f t="shared" si="36"/>
        <v>172351.10322643263</v>
      </c>
      <c r="BA28" s="600">
        <f t="shared" si="37"/>
        <v>0</v>
      </c>
      <c r="BB28" s="600">
        <f t="shared" si="38"/>
        <v>0</v>
      </c>
      <c r="BC28" s="600">
        <f t="shared" si="39"/>
        <v>0</v>
      </c>
      <c r="BD28" s="600">
        <f t="shared" si="40"/>
        <v>0</v>
      </c>
      <c r="BE28" s="600">
        <f t="shared" si="41"/>
        <v>93335.814033367904</v>
      </c>
      <c r="BF28" s="600">
        <f t="shared" si="42"/>
        <v>172351.10322643263</v>
      </c>
      <c r="BG28" s="600">
        <v>0</v>
      </c>
      <c r="BH28" s="600">
        <v>0</v>
      </c>
      <c r="BI28" s="600">
        <f t="shared" si="43"/>
        <v>0</v>
      </c>
      <c r="BJ28" s="600">
        <f t="shared" si="44"/>
        <v>172351.1</v>
      </c>
      <c r="BK28" s="600">
        <f t="shared" si="45"/>
        <v>60546.941429999992</v>
      </c>
      <c r="BL28" s="600">
        <v>172351.1</v>
      </c>
      <c r="BM28" s="600">
        <f t="shared" si="46"/>
        <v>0</v>
      </c>
      <c r="BN28" s="600">
        <f t="shared" si="47"/>
        <v>0</v>
      </c>
      <c r="BO28" s="600">
        <f t="shared" si="48"/>
        <v>0</v>
      </c>
      <c r="BP28" s="600">
        <f t="shared" si="49"/>
        <v>60546.941429999992</v>
      </c>
      <c r="BQ28" s="600">
        <f t="shared" si="50"/>
        <v>0</v>
      </c>
      <c r="BR28" s="600">
        <f t="shared" si="51"/>
        <v>0</v>
      </c>
      <c r="BT28" s="606">
        <f t="shared" si="52"/>
        <v>1</v>
      </c>
      <c r="BU28" s="607">
        <f t="shared" si="53"/>
        <v>0</v>
      </c>
      <c r="BV28" s="606">
        <f t="shared" si="54"/>
        <v>1</v>
      </c>
      <c r="BW28" s="607">
        <f t="shared" si="55"/>
        <v>0</v>
      </c>
      <c r="BX28" s="607">
        <f t="shared" si="56"/>
        <v>0</v>
      </c>
      <c r="BY28" s="607">
        <f t="shared" si="57"/>
        <v>0</v>
      </c>
      <c r="BZ28" s="607">
        <f t="shared" si="58"/>
        <v>0</v>
      </c>
      <c r="CA28" s="607">
        <f t="shared" si="59"/>
        <v>0</v>
      </c>
      <c r="CB28" s="607">
        <f t="shared" si="78"/>
        <v>0</v>
      </c>
      <c r="CC28" s="607">
        <f t="shared" si="60"/>
        <v>0</v>
      </c>
      <c r="CD28" s="607">
        <f t="shared" si="61"/>
        <v>0</v>
      </c>
      <c r="CE28" s="607">
        <f t="shared" si="62"/>
        <v>0</v>
      </c>
      <c r="CF28" s="607">
        <f t="shared" si="63"/>
        <v>0</v>
      </c>
      <c r="CG28" s="607">
        <f t="shared" si="64"/>
        <v>0</v>
      </c>
      <c r="CH28" s="607">
        <f t="shared" si="65"/>
        <v>172351.1</v>
      </c>
      <c r="CI28" s="609"/>
      <c r="CK28" s="610" t="str">
        <f t="shared" si="79"/>
        <v/>
      </c>
      <c r="CL28" s="611" t="str">
        <f>IF(CK28="","",COUNTIFS($CK$16:CK28,"Yes")+MAX(State!AD:AD))</f>
        <v/>
      </c>
      <c r="CM28" s="612" t="b">
        <f>IF(C28="", "", AND(INDEX('Summary Dynamic'!$D$8:$D$10, MATCH(H28, 'Summary Dynamic'!$C$8:$C$10, 0))="Include", INDEX('Summary Dynamic'!$D$12:$D$14, MATCH(I28, 'Summary Dynamic'!$C$12:$C$14, 0))="Include", INDEX('Summary Dynamic'!$D$16:$D$17, MATCH(J28, 'Summary Dynamic'!$C$16:$C$17, 0))="Include", INDEX('Summary Dynamic'!$D$19:$D$20, MATCH(K28, 'Summary Dynamic'!$C$19:$C$20, 0))="Include", INDEX('Summary Dynamic'!$D$25:$D$26, MATCH(L28, 'Summary Dynamic'!$C$25:$C$26, 0))="Include",'Summary Dynamic'!$D$23="Include"))</f>
        <v>1</v>
      </c>
      <c r="CN28" s="613">
        <f>IFERROR(IF(CM28=TRUE, COUNTIFS($CM$16:CM28, TRUE), ""), "")</f>
        <v>13</v>
      </c>
      <c r="CP28" s="614" t="str">
        <f t="shared" si="66"/>
        <v>Non-Rural Private</v>
      </c>
      <c r="CY28" s="615"/>
      <c r="CZ28" s="616"/>
    </row>
    <row r="29" spans="2:104" x14ac:dyDescent="0.25">
      <c r="B29" s="617">
        <f t="shared" si="67"/>
        <v>14</v>
      </c>
      <c r="C29" s="593" t="s">
        <v>500</v>
      </c>
      <c r="D29" s="594" t="s">
        <v>500</v>
      </c>
      <c r="E29" s="594" t="s">
        <v>501</v>
      </c>
      <c r="F29" s="407" t="s">
        <v>502</v>
      </c>
      <c r="G29" s="408" t="s">
        <v>503</v>
      </c>
      <c r="H29" s="408" t="s">
        <v>22</v>
      </c>
      <c r="I29" s="408" t="s">
        <v>26</v>
      </c>
      <c r="J29" s="408" t="s">
        <v>35</v>
      </c>
      <c r="K29" s="408" t="s">
        <v>35</v>
      </c>
      <c r="L29" s="408" t="s">
        <v>37</v>
      </c>
      <c r="M29" s="408" t="s">
        <v>35</v>
      </c>
      <c r="N29" s="595" t="str">
        <f t="shared" si="18"/>
        <v>No</v>
      </c>
      <c r="O29" s="596">
        <v>8622</v>
      </c>
      <c r="P29" s="596">
        <v>20003</v>
      </c>
      <c r="Q29" s="597">
        <v>0.21176123738027552</v>
      </c>
      <c r="R29" s="596">
        <f t="shared" si="68"/>
        <v>4235.8600313176512</v>
      </c>
      <c r="S29" s="596">
        <f t="shared" si="69"/>
        <v>12857.86003131765</v>
      </c>
      <c r="T29" s="596">
        <f t="shared" si="19"/>
        <v>12857.86003131765</v>
      </c>
      <c r="U29" s="598">
        <f t="shared" si="70"/>
        <v>3.008126162239506E-3</v>
      </c>
      <c r="V29" s="599">
        <f t="shared" si="80"/>
        <v>0</v>
      </c>
      <c r="W29" s="600">
        <v>1981194.3468828886</v>
      </c>
      <c r="X29" s="600">
        <v>0</v>
      </c>
      <c r="Y29" s="600">
        <v>0</v>
      </c>
      <c r="Z29" s="600">
        <f t="shared" si="71"/>
        <v>0</v>
      </c>
      <c r="AA29" s="600">
        <f t="shared" si="72"/>
        <v>1981194.3468828886</v>
      </c>
      <c r="AB29" s="601">
        <f t="shared" si="21"/>
        <v>0</v>
      </c>
      <c r="AC29" s="599">
        <v>0</v>
      </c>
      <c r="AD29" s="599">
        <f>MAX(IF(M29="Yes",'Assumption Inputs'!$C$40,'Assumption Inputs'!$C$41),AC29)</f>
        <v>6000000</v>
      </c>
      <c r="AE29" s="599">
        <f t="shared" si="81"/>
        <v>1285200.77282293</v>
      </c>
      <c r="AF29" s="599">
        <f t="shared" si="23"/>
        <v>0</v>
      </c>
      <c r="AG29" s="599">
        <f t="shared" si="82"/>
        <v>0</v>
      </c>
      <c r="AH29" s="599">
        <f t="shared" si="83"/>
        <v>1285200.77282293</v>
      </c>
      <c r="AI29" s="599">
        <v>9467539.7773948237</v>
      </c>
      <c r="AJ29" s="599">
        <v>8771546.2033348661</v>
      </c>
      <c r="AK29" s="602">
        <f t="shared" si="74"/>
        <v>0.92648633220197851</v>
      </c>
      <c r="AL29" s="603">
        <f t="shared" si="25"/>
        <v>0</v>
      </c>
      <c r="AM29" s="600">
        <f t="shared" si="75"/>
        <v>1285200.77282293</v>
      </c>
      <c r="AN29" s="600">
        <f t="shared" si="26"/>
        <v>1285200.77282293</v>
      </c>
      <c r="AO29" s="600">
        <f t="shared" si="27"/>
        <v>0</v>
      </c>
      <c r="AP29" s="600">
        <f t="shared" si="28"/>
        <v>695993.57405995857</v>
      </c>
      <c r="AQ29" s="600">
        <f t="shared" si="76"/>
        <v>0</v>
      </c>
      <c r="AR29" s="600">
        <f t="shared" si="77"/>
        <v>1285200.77282293</v>
      </c>
      <c r="AS29" s="604">
        <f t="shared" si="29"/>
        <v>0</v>
      </c>
      <c r="AT29" s="605">
        <f t="shared" si="30"/>
        <v>0</v>
      </c>
      <c r="AU29" s="600">
        <f t="shared" si="31"/>
        <v>1285200.77282293</v>
      </c>
      <c r="AV29" s="600">
        <f t="shared" si="32"/>
        <v>1285200.77282293</v>
      </c>
      <c r="AW29" s="600">
        <f t="shared" si="33"/>
        <v>0</v>
      </c>
      <c r="AX29" s="600">
        <f t="shared" si="34"/>
        <v>695993.57405995857</v>
      </c>
      <c r="AY29" s="600">
        <f t="shared" si="35"/>
        <v>1.3694015948055537E-12</v>
      </c>
      <c r="AZ29" s="600">
        <f t="shared" si="36"/>
        <v>1285200.77282293</v>
      </c>
      <c r="BA29" s="600">
        <f t="shared" si="37"/>
        <v>0</v>
      </c>
      <c r="BB29" s="600">
        <f t="shared" si="38"/>
        <v>0</v>
      </c>
      <c r="BC29" s="600">
        <f t="shared" si="39"/>
        <v>0</v>
      </c>
      <c r="BD29" s="600">
        <f t="shared" si="40"/>
        <v>0</v>
      </c>
      <c r="BE29" s="600">
        <f t="shared" si="41"/>
        <v>695993.57405995857</v>
      </c>
      <c r="BF29" s="600">
        <f t="shared" si="42"/>
        <v>1285200.77282293</v>
      </c>
      <c r="BG29" s="600">
        <v>0</v>
      </c>
      <c r="BH29" s="600">
        <v>0</v>
      </c>
      <c r="BI29" s="600">
        <f t="shared" si="43"/>
        <v>0</v>
      </c>
      <c r="BJ29" s="600">
        <f t="shared" si="44"/>
        <v>1285200.77</v>
      </c>
      <c r="BK29" s="600">
        <f t="shared" si="45"/>
        <v>451491.03050099994</v>
      </c>
      <c r="BL29" s="600">
        <v>1285200.77</v>
      </c>
      <c r="BM29" s="600">
        <f t="shared" si="46"/>
        <v>0</v>
      </c>
      <c r="BN29" s="600">
        <f t="shared" si="47"/>
        <v>0</v>
      </c>
      <c r="BO29" s="600">
        <f t="shared" si="48"/>
        <v>0</v>
      </c>
      <c r="BP29" s="600">
        <f t="shared" si="49"/>
        <v>451491.03050099994</v>
      </c>
      <c r="BQ29" s="600">
        <f t="shared" si="50"/>
        <v>0</v>
      </c>
      <c r="BR29" s="600">
        <f t="shared" si="51"/>
        <v>0</v>
      </c>
      <c r="BT29" s="606">
        <f t="shared" si="52"/>
        <v>1</v>
      </c>
      <c r="BU29" s="607">
        <f t="shared" si="53"/>
        <v>0</v>
      </c>
      <c r="BV29" s="606">
        <f t="shared" si="54"/>
        <v>1</v>
      </c>
      <c r="BW29" s="607">
        <f t="shared" si="55"/>
        <v>0</v>
      </c>
      <c r="BX29" s="607">
        <f t="shared" si="56"/>
        <v>0</v>
      </c>
      <c r="BY29" s="607">
        <f t="shared" si="57"/>
        <v>0</v>
      </c>
      <c r="BZ29" s="607">
        <f t="shared" si="58"/>
        <v>0</v>
      </c>
      <c r="CA29" s="607">
        <f t="shared" si="59"/>
        <v>0</v>
      </c>
      <c r="CB29" s="607">
        <f t="shared" si="78"/>
        <v>0</v>
      </c>
      <c r="CC29" s="607">
        <f t="shared" si="60"/>
        <v>0</v>
      </c>
      <c r="CD29" s="607">
        <f t="shared" si="61"/>
        <v>0</v>
      </c>
      <c r="CE29" s="607">
        <f t="shared" si="62"/>
        <v>0</v>
      </c>
      <c r="CF29" s="607">
        <f t="shared" si="63"/>
        <v>0</v>
      </c>
      <c r="CG29" s="607">
        <f t="shared" si="64"/>
        <v>0</v>
      </c>
      <c r="CH29" s="607">
        <f t="shared" si="65"/>
        <v>1285200.77</v>
      </c>
      <c r="CI29" s="609"/>
      <c r="CK29" s="610" t="str">
        <f t="shared" si="79"/>
        <v/>
      </c>
      <c r="CL29" s="611" t="str">
        <f>IF(CK29="","",COUNTIFS($CK$16:CK29,"Yes")+MAX(State!AD:AD))</f>
        <v/>
      </c>
      <c r="CM29" s="612" t="b">
        <f>IF(C29="", "", AND(INDEX('Summary Dynamic'!$D$8:$D$10, MATCH(H29, 'Summary Dynamic'!$C$8:$C$10, 0))="Include", INDEX('Summary Dynamic'!$D$12:$D$14, MATCH(I29, 'Summary Dynamic'!$C$12:$C$14, 0))="Include", INDEX('Summary Dynamic'!$D$16:$D$17, MATCH(J29, 'Summary Dynamic'!$C$16:$C$17, 0))="Include", INDEX('Summary Dynamic'!$D$19:$D$20, MATCH(K29, 'Summary Dynamic'!$C$19:$C$20, 0))="Include", INDEX('Summary Dynamic'!$D$25:$D$26, MATCH(L29, 'Summary Dynamic'!$C$25:$C$26, 0))="Include",'Summary Dynamic'!$D$23="Include"))</f>
        <v>1</v>
      </c>
      <c r="CN29" s="613">
        <f>IFERROR(IF(CM29=TRUE, COUNTIFS($CM$16:CM29, TRUE), ""), "")</f>
        <v>14</v>
      </c>
      <c r="CP29" s="614" t="str">
        <f t="shared" si="66"/>
        <v>Non-Rural Private</v>
      </c>
      <c r="CY29" s="615"/>
      <c r="CZ29" s="616"/>
    </row>
    <row r="30" spans="2:104" x14ac:dyDescent="0.25">
      <c r="B30" s="617">
        <f t="shared" si="67"/>
        <v>15</v>
      </c>
      <c r="C30" s="593" t="s">
        <v>504</v>
      </c>
      <c r="D30" s="594" t="s">
        <v>504</v>
      </c>
      <c r="E30" s="594" t="s">
        <v>505</v>
      </c>
      <c r="F30" s="407" t="s">
        <v>506</v>
      </c>
      <c r="G30" s="408" t="s">
        <v>314</v>
      </c>
      <c r="H30" s="408" t="s">
        <v>22</v>
      </c>
      <c r="I30" s="408" t="s">
        <v>26</v>
      </c>
      <c r="J30" s="408" t="s">
        <v>35</v>
      </c>
      <c r="K30" s="408" t="s">
        <v>35</v>
      </c>
      <c r="L30" s="408" t="s">
        <v>37</v>
      </c>
      <c r="M30" s="408" t="s">
        <v>35</v>
      </c>
      <c r="N30" s="595" t="str">
        <f t="shared" si="18"/>
        <v>No</v>
      </c>
      <c r="O30" s="596">
        <v>21653</v>
      </c>
      <c r="P30" s="596">
        <v>92770</v>
      </c>
      <c r="Q30" s="597">
        <v>0.24981727628399339</v>
      </c>
      <c r="R30" s="596">
        <f t="shared" si="68"/>
        <v>23175.548720866067</v>
      </c>
      <c r="S30" s="596">
        <f t="shared" si="69"/>
        <v>44828.548720866063</v>
      </c>
      <c r="T30" s="596">
        <f t="shared" si="19"/>
        <v>44828.548720866063</v>
      </c>
      <c r="U30" s="598">
        <f t="shared" si="70"/>
        <v>1.0487742897652804E-2</v>
      </c>
      <c r="V30" s="599">
        <f t="shared" si="80"/>
        <v>0</v>
      </c>
      <c r="W30" s="600">
        <v>442557.48722536874</v>
      </c>
      <c r="X30" s="600">
        <v>0</v>
      </c>
      <c r="Y30" s="600">
        <v>42269.14479928129</v>
      </c>
      <c r="Z30" s="600">
        <f t="shared" si="71"/>
        <v>0</v>
      </c>
      <c r="AA30" s="600">
        <f t="shared" si="72"/>
        <v>442557.48722536874</v>
      </c>
      <c r="AB30" s="601">
        <f t="shared" si="21"/>
        <v>0</v>
      </c>
      <c r="AC30" s="599">
        <v>0</v>
      </c>
      <c r="AD30" s="599">
        <f>MAX(IF(M30="Yes",'Assumption Inputs'!$C$40,'Assumption Inputs'!$C$41),AC30)</f>
        <v>6000000</v>
      </c>
      <c r="AE30" s="599">
        <f t="shared" si="81"/>
        <v>287087.04196309671</v>
      </c>
      <c r="AF30" s="599">
        <f t="shared" si="23"/>
        <v>0</v>
      </c>
      <c r="AG30" s="599">
        <f t="shared" si="82"/>
        <v>0</v>
      </c>
      <c r="AH30" s="599">
        <f t="shared" si="83"/>
        <v>287087.04196309671</v>
      </c>
      <c r="AI30" s="599">
        <v>16629963.146286132</v>
      </c>
      <c r="AJ30" s="599">
        <v>16474492.701023858</v>
      </c>
      <c r="AK30" s="602">
        <f t="shared" si="74"/>
        <v>0.99065118521943363</v>
      </c>
      <c r="AL30" s="603">
        <f t="shared" si="25"/>
        <v>0</v>
      </c>
      <c r="AM30" s="600">
        <f t="shared" si="75"/>
        <v>287087.04196309671</v>
      </c>
      <c r="AN30" s="600">
        <f t="shared" si="26"/>
        <v>287087.04196309671</v>
      </c>
      <c r="AO30" s="600">
        <f t="shared" si="27"/>
        <v>0</v>
      </c>
      <c r="AP30" s="600">
        <f t="shared" si="28"/>
        <v>155470.44526227203</v>
      </c>
      <c r="AQ30" s="600">
        <f t="shared" si="76"/>
        <v>0</v>
      </c>
      <c r="AR30" s="600">
        <f t="shared" si="77"/>
        <v>287087.04196309671</v>
      </c>
      <c r="AS30" s="604">
        <f t="shared" si="29"/>
        <v>0</v>
      </c>
      <c r="AT30" s="605">
        <f t="shared" si="30"/>
        <v>0</v>
      </c>
      <c r="AU30" s="600">
        <f t="shared" si="31"/>
        <v>287087.04196309671</v>
      </c>
      <c r="AV30" s="600">
        <f t="shared" si="32"/>
        <v>287087.04196309671</v>
      </c>
      <c r="AW30" s="600">
        <f t="shared" si="33"/>
        <v>0</v>
      </c>
      <c r="AX30" s="600">
        <f t="shared" si="34"/>
        <v>155470.44526227203</v>
      </c>
      <c r="AY30" s="600">
        <f t="shared" si="35"/>
        <v>3.0589574907331508E-13</v>
      </c>
      <c r="AZ30" s="600">
        <f t="shared" si="36"/>
        <v>287087.04196309671</v>
      </c>
      <c r="BA30" s="600">
        <f t="shared" si="37"/>
        <v>0</v>
      </c>
      <c r="BB30" s="600">
        <f t="shared" si="38"/>
        <v>0</v>
      </c>
      <c r="BC30" s="600">
        <f t="shared" si="39"/>
        <v>0</v>
      </c>
      <c r="BD30" s="600">
        <f t="shared" si="40"/>
        <v>0</v>
      </c>
      <c r="BE30" s="600">
        <f t="shared" si="41"/>
        <v>155470.44526227203</v>
      </c>
      <c r="BF30" s="600">
        <f t="shared" si="42"/>
        <v>287087.04196309671</v>
      </c>
      <c r="BG30" s="600">
        <v>0</v>
      </c>
      <c r="BH30" s="600">
        <v>0</v>
      </c>
      <c r="BI30" s="600">
        <f t="shared" si="43"/>
        <v>0</v>
      </c>
      <c r="BJ30" s="600">
        <f t="shared" si="44"/>
        <v>287087.03999999998</v>
      </c>
      <c r="BK30" s="600">
        <f t="shared" si="45"/>
        <v>100853.67715199997</v>
      </c>
      <c r="BL30" s="600">
        <v>287087.03999999998</v>
      </c>
      <c r="BM30" s="600">
        <f t="shared" si="46"/>
        <v>0</v>
      </c>
      <c r="BN30" s="600">
        <f t="shared" si="47"/>
        <v>0</v>
      </c>
      <c r="BO30" s="600">
        <f t="shared" si="48"/>
        <v>0</v>
      </c>
      <c r="BP30" s="600">
        <f t="shared" si="49"/>
        <v>100853.67715199997</v>
      </c>
      <c r="BQ30" s="600">
        <f t="shared" si="50"/>
        <v>0</v>
      </c>
      <c r="BR30" s="600">
        <f t="shared" si="51"/>
        <v>0</v>
      </c>
      <c r="BT30" s="606">
        <f t="shared" si="52"/>
        <v>1</v>
      </c>
      <c r="BU30" s="607">
        <f t="shared" si="53"/>
        <v>0</v>
      </c>
      <c r="BV30" s="606">
        <f t="shared" si="54"/>
        <v>1</v>
      </c>
      <c r="BW30" s="607">
        <f t="shared" si="55"/>
        <v>0</v>
      </c>
      <c r="BX30" s="607">
        <f t="shared" si="56"/>
        <v>0</v>
      </c>
      <c r="BY30" s="607">
        <f t="shared" si="57"/>
        <v>0</v>
      </c>
      <c r="BZ30" s="607">
        <f t="shared" si="58"/>
        <v>0</v>
      </c>
      <c r="CA30" s="607">
        <f t="shared" si="59"/>
        <v>0</v>
      </c>
      <c r="CB30" s="607">
        <f t="shared" si="78"/>
        <v>0</v>
      </c>
      <c r="CC30" s="607">
        <f t="shared" si="60"/>
        <v>0</v>
      </c>
      <c r="CD30" s="607">
        <f t="shared" si="61"/>
        <v>0</v>
      </c>
      <c r="CE30" s="607">
        <f t="shared" si="62"/>
        <v>0</v>
      </c>
      <c r="CF30" s="607">
        <f t="shared" si="63"/>
        <v>0</v>
      </c>
      <c r="CG30" s="607">
        <f t="shared" si="64"/>
        <v>0</v>
      </c>
      <c r="CH30" s="607">
        <f t="shared" si="65"/>
        <v>287087.03999999998</v>
      </c>
      <c r="CI30" s="609"/>
      <c r="CK30" s="610" t="str">
        <f t="shared" si="79"/>
        <v/>
      </c>
      <c r="CL30" s="611" t="str">
        <f>IF(CK30="","",COUNTIFS($CK$16:CK30,"Yes")+MAX(State!AD:AD))</f>
        <v/>
      </c>
      <c r="CM30" s="612" t="b">
        <f>IF(C30="", "", AND(INDEX('Summary Dynamic'!$D$8:$D$10, MATCH(H30, 'Summary Dynamic'!$C$8:$C$10, 0))="Include", INDEX('Summary Dynamic'!$D$12:$D$14, MATCH(I30, 'Summary Dynamic'!$C$12:$C$14, 0))="Include", INDEX('Summary Dynamic'!$D$16:$D$17, MATCH(J30, 'Summary Dynamic'!$C$16:$C$17, 0))="Include", INDEX('Summary Dynamic'!$D$19:$D$20, MATCH(K30, 'Summary Dynamic'!$C$19:$C$20, 0))="Include", INDEX('Summary Dynamic'!$D$25:$D$26, MATCH(L30, 'Summary Dynamic'!$C$25:$C$26, 0))="Include",'Summary Dynamic'!$D$23="Include"))</f>
        <v>1</v>
      </c>
      <c r="CN30" s="613">
        <f>IFERROR(IF(CM30=TRUE, COUNTIFS($CM$16:CM30, TRUE), ""), "")</f>
        <v>15</v>
      </c>
      <c r="CP30" s="614" t="str">
        <f t="shared" si="66"/>
        <v>Non-Rural Private</v>
      </c>
      <c r="CY30" s="615"/>
      <c r="CZ30" s="616"/>
    </row>
    <row r="31" spans="2:104" x14ac:dyDescent="0.25">
      <c r="B31" s="617">
        <f t="shared" si="67"/>
        <v>16</v>
      </c>
      <c r="C31" s="593" t="s">
        <v>507</v>
      </c>
      <c r="D31" s="594" t="s">
        <v>507</v>
      </c>
      <c r="E31" s="594" t="s">
        <v>508</v>
      </c>
      <c r="F31" s="407" t="s">
        <v>509</v>
      </c>
      <c r="G31" s="408" t="s">
        <v>302</v>
      </c>
      <c r="H31" s="408" t="s">
        <v>22</v>
      </c>
      <c r="I31" s="408" t="s">
        <v>26</v>
      </c>
      <c r="J31" s="408" t="s">
        <v>35</v>
      </c>
      <c r="K31" s="408" t="s">
        <v>35</v>
      </c>
      <c r="L31" s="408" t="s">
        <v>35</v>
      </c>
      <c r="M31" s="408" t="s">
        <v>37</v>
      </c>
      <c r="N31" s="595" t="str">
        <f t="shared" si="18"/>
        <v>No</v>
      </c>
      <c r="O31" s="596">
        <v>20614</v>
      </c>
      <c r="P31" s="596">
        <v>148623</v>
      </c>
      <c r="Q31" s="597">
        <v>0.11824800709966493</v>
      </c>
      <c r="R31" s="596">
        <f t="shared" si="68"/>
        <v>17574.373559173502</v>
      </c>
      <c r="S31" s="596">
        <f t="shared" si="69"/>
        <v>38188.373559173502</v>
      </c>
      <c r="T31" s="596">
        <f t="shared" si="19"/>
        <v>38188.373559173502</v>
      </c>
      <c r="U31" s="598">
        <f t="shared" si="70"/>
        <v>8.9342585248964618E-3</v>
      </c>
      <c r="V31" s="599">
        <f t="shared" si="80"/>
        <v>0</v>
      </c>
      <c r="W31" s="600">
        <v>52305877.869642727</v>
      </c>
      <c r="X31" s="600">
        <v>0</v>
      </c>
      <c r="Y31" s="600">
        <v>40885572.119503714</v>
      </c>
      <c r="Z31" s="600">
        <f t="shared" si="71"/>
        <v>0</v>
      </c>
      <c r="AA31" s="600">
        <f t="shared" si="72"/>
        <v>52305877.869642727</v>
      </c>
      <c r="AB31" s="601">
        <f t="shared" si="21"/>
        <v>0</v>
      </c>
      <c r="AC31" s="599">
        <v>8240337.3648986109</v>
      </c>
      <c r="AD31" s="599">
        <f>MAX(IF(M31="Yes",'Assumption Inputs'!$C$40,'Assumption Inputs'!$C$41),AC31)</f>
        <v>8240337.3648986109</v>
      </c>
      <c r="AE31" s="599">
        <f t="shared" si="81"/>
        <v>8240337.3648986109</v>
      </c>
      <c r="AF31" s="599">
        <f t="shared" si="23"/>
        <v>0</v>
      </c>
      <c r="AG31" s="599">
        <f t="shared" si="82"/>
        <v>0</v>
      </c>
      <c r="AH31" s="599">
        <f t="shared" si="83"/>
        <v>8240337.3648986109</v>
      </c>
      <c r="AI31" s="599">
        <v>125785035.89610891</v>
      </c>
      <c r="AJ31" s="599">
        <v>81719495.391364798</v>
      </c>
      <c r="AK31" s="602">
        <f t="shared" si="74"/>
        <v>0.64967581246198736</v>
      </c>
      <c r="AL31" s="603">
        <f t="shared" si="25"/>
        <v>0</v>
      </c>
      <c r="AM31" s="600">
        <f t="shared" si="75"/>
        <v>8240337.3648986109</v>
      </c>
      <c r="AN31" s="600">
        <f t="shared" si="26"/>
        <v>8240337.3648986109</v>
      </c>
      <c r="AO31" s="600">
        <f t="shared" si="27"/>
        <v>0</v>
      </c>
      <c r="AP31" s="600">
        <f t="shared" si="28"/>
        <v>44065540.504744112</v>
      </c>
      <c r="AQ31" s="600">
        <f t="shared" si="76"/>
        <v>0</v>
      </c>
      <c r="AR31" s="600">
        <f t="shared" si="77"/>
        <v>8240337.3648986109</v>
      </c>
      <c r="AS31" s="604">
        <f t="shared" si="29"/>
        <v>0</v>
      </c>
      <c r="AT31" s="605">
        <f t="shared" si="30"/>
        <v>0</v>
      </c>
      <c r="AU31" s="600">
        <f t="shared" si="31"/>
        <v>8240337.3648986109</v>
      </c>
      <c r="AV31" s="600">
        <f t="shared" si="32"/>
        <v>8240337.3648986109</v>
      </c>
      <c r="AW31" s="600">
        <f t="shared" si="33"/>
        <v>0</v>
      </c>
      <c r="AX31" s="600">
        <f t="shared" si="34"/>
        <v>44065540.504744112</v>
      </c>
      <c r="AY31" s="600">
        <f t="shared" si="35"/>
        <v>8.6701118648498958E-11</v>
      </c>
      <c r="AZ31" s="600">
        <f t="shared" si="36"/>
        <v>8240337.3648986109</v>
      </c>
      <c r="BA31" s="600">
        <f t="shared" si="37"/>
        <v>0</v>
      </c>
      <c r="BB31" s="600">
        <f t="shared" si="38"/>
        <v>0</v>
      </c>
      <c r="BC31" s="600">
        <f t="shared" si="39"/>
        <v>0</v>
      </c>
      <c r="BD31" s="600">
        <f t="shared" si="40"/>
        <v>0</v>
      </c>
      <c r="BE31" s="600">
        <f t="shared" si="41"/>
        <v>44065540.504744112</v>
      </c>
      <c r="BF31" s="600">
        <f t="shared" si="42"/>
        <v>8240337.3648986109</v>
      </c>
      <c r="BG31" s="600">
        <v>0</v>
      </c>
      <c r="BH31" s="600">
        <v>0</v>
      </c>
      <c r="BI31" s="600">
        <f t="shared" si="43"/>
        <v>0</v>
      </c>
      <c r="BJ31" s="600">
        <f t="shared" si="44"/>
        <v>8240337.3600000003</v>
      </c>
      <c r="BK31" s="600">
        <f t="shared" si="45"/>
        <v>2894830.5145679996</v>
      </c>
      <c r="BL31" s="600">
        <v>8240337.3600000003</v>
      </c>
      <c r="BM31" s="600">
        <f t="shared" si="46"/>
        <v>0</v>
      </c>
      <c r="BN31" s="600">
        <f t="shared" si="47"/>
        <v>0</v>
      </c>
      <c r="BO31" s="600">
        <f t="shared" si="48"/>
        <v>0</v>
      </c>
      <c r="BP31" s="600">
        <f t="shared" si="49"/>
        <v>2894830.5145679996</v>
      </c>
      <c r="BQ31" s="600">
        <f t="shared" si="50"/>
        <v>0</v>
      </c>
      <c r="BR31" s="600">
        <f t="shared" si="51"/>
        <v>0</v>
      </c>
      <c r="BT31" s="606">
        <f t="shared" si="52"/>
        <v>1</v>
      </c>
      <c r="BU31" s="607">
        <f t="shared" si="53"/>
        <v>0</v>
      </c>
      <c r="BV31" s="606">
        <f t="shared" si="54"/>
        <v>1</v>
      </c>
      <c r="BW31" s="607">
        <f t="shared" si="55"/>
        <v>0</v>
      </c>
      <c r="BX31" s="607">
        <f t="shared" si="56"/>
        <v>0</v>
      </c>
      <c r="BY31" s="607">
        <f t="shared" si="57"/>
        <v>0</v>
      </c>
      <c r="BZ31" s="607">
        <f t="shared" si="58"/>
        <v>0</v>
      </c>
      <c r="CA31" s="607">
        <f t="shared" si="59"/>
        <v>0</v>
      </c>
      <c r="CB31" s="607">
        <f t="shared" si="78"/>
        <v>0</v>
      </c>
      <c r="CC31" s="607">
        <f t="shared" si="60"/>
        <v>0</v>
      </c>
      <c r="CD31" s="607">
        <f t="shared" si="61"/>
        <v>0</v>
      </c>
      <c r="CE31" s="607">
        <f t="shared" si="62"/>
        <v>0</v>
      </c>
      <c r="CF31" s="607">
        <f t="shared" si="63"/>
        <v>0</v>
      </c>
      <c r="CG31" s="607">
        <f t="shared" si="64"/>
        <v>0</v>
      </c>
      <c r="CH31" s="607">
        <f t="shared" si="65"/>
        <v>8240337.3600000003</v>
      </c>
      <c r="CI31" s="609"/>
      <c r="CK31" s="610" t="str">
        <f t="shared" si="79"/>
        <v/>
      </c>
      <c r="CL31" s="611" t="str">
        <f>IF(CK31="","",COUNTIFS($CK$16:CK31,"Yes")+MAX(State!AD:AD))</f>
        <v/>
      </c>
      <c r="CM31" s="612" t="b">
        <f>IF(C31="", "", AND(INDEX('Summary Dynamic'!$D$8:$D$10, MATCH(H31, 'Summary Dynamic'!$C$8:$C$10, 0))="Include", INDEX('Summary Dynamic'!$D$12:$D$14, MATCH(I31, 'Summary Dynamic'!$C$12:$C$14, 0))="Include", INDEX('Summary Dynamic'!$D$16:$D$17, MATCH(J31, 'Summary Dynamic'!$C$16:$C$17, 0))="Include", INDEX('Summary Dynamic'!$D$19:$D$20, MATCH(K31, 'Summary Dynamic'!$C$19:$C$20, 0))="Include", INDEX('Summary Dynamic'!$D$25:$D$26, MATCH(L31, 'Summary Dynamic'!$C$25:$C$26, 0))="Include",'Summary Dynamic'!$D$23="Include"))</f>
        <v>1</v>
      </c>
      <c r="CN31" s="613">
        <f>IFERROR(IF(CM31=TRUE, COUNTIFS($CM$16:CM31, TRUE), ""), "")</f>
        <v>16</v>
      </c>
      <c r="CP31" s="614" t="str">
        <f t="shared" si="66"/>
        <v>Non-Rural Private</v>
      </c>
      <c r="CY31" s="615"/>
      <c r="CZ31" s="616"/>
    </row>
    <row r="32" spans="2:104" x14ac:dyDescent="0.25">
      <c r="B32" s="617">
        <f t="shared" si="67"/>
        <v>17</v>
      </c>
      <c r="C32" s="593" t="s">
        <v>510</v>
      </c>
      <c r="D32" s="594" t="s">
        <v>510</v>
      </c>
      <c r="E32" s="594" t="s">
        <v>511</v>
      </c>
      <c r="F32" s="407" t="s">
        <v>512</v>
      </c>
      <c r="G32" s="408" t="s">
        <v>298</v>
      </c>
      <c r="H32" s="408" t="s">
        <v>22</v>
      </c>
      <c r="I32" s="408" t="s">
        <v>26</v>
      </c>
      <c r="J32" s="408" t="s">
        <v>35</v>
      </c>
      <c r="K32" s="408" t="s">
        <v>35</v>
      </c>
      <c r="L32" s="408" t="s">
        <v>35</v>
      </c>
      <c r="M32" s="408" t="s">
        <v>37</v>
      </c>
      <c r="N32" s="595" t="str">
        <f t="shared" si="18"/>
        <v>No</v>
      </c>
      <c r="O32" s="596">
        <v>29715</v>
      </c>
      <c r="P32" s="596">
        <v>143007</v>
      </c>
      <c r="Q32" s="597">
        <v>0.21101204298069401</v>
      </c>
      <c r="R32" s="596">
        <f t="shared" si="68"/>
        <v>30176.199230540107</v>
      </c>
      <c r="S32" s="596">
        <f t="shared" si="69"/>
        <v>59891.199230540107</v>
      </c>
      <c r="T32" s="596">
        <f t="shared" si="19"/>
        <v>59891.199230540107</v>
      </c>
      <c r="U32" s="598">
        <f t="shared" si="70"/>
        <v>1.4011684903589961E-2</v>
      </c>
      <c r="V32" s="599">
        <f t="shared" si="80"/>
        <v>0</v>
      </c>
      <c r="W32" s="600">
        <v>14160503.491093403</v>
      </c>
      <c r="X32" s="600">
        <v>0</v>
      </c>
      <c r="Y32" s="600">
        <v>24891295.383797683</v>
      </c>
      <c r="Z32" s="600">
        <f t="shared" si="71"/>
        <v>0</v>
      </c>
      <c r="AA32" s="600">
        <f t="shared" si="72"/>
        <v>14160503.491093403</v>
      </c>
      <c r="AB32" s="601">
        <f t="shared" si="21"/>
        <v>0</v>
      </c>
      <c r="AC32" s="599">
        <v>0</v>
      </c>
      <c r="AD32" s="599">
        <f>MAX(IF(M32="Yes",'Assumption Inputs'!$C$40,'Assumption Inputs'!$C$41),AC32)</f>
        <v>8000000</v>
      </c>
      <c r="AE32" s="599">
        <f t="shared" si="81"/>
        <v>8000000</v>
      </c>
      <c r="AF32" s="599">
        <f t="shared" si="23"/>
        <v>0</v>
      </c>
      <c r="AG32" s="599">
        <f t="shared" si="82"/>
        <v>0</v>
      </c>
      <c r="AH32" s="599">
        <f t="shared" si="83"/>
        <v>8000000</v>
      </c>
      <c r="AI32" s="599">
        <v>167292060.63046506</v>
      </c>
      <c r="AJ32" s="599">
        <v>161131557.13937166</v>
      </c>
      <c r="AK32" s="602">
        <f t="shared" si="74"/>
        <v>0.96317515925216879</v>
      </c>
      <c r="AL32" s="603">
        <f t="shared" si="25"/>
        <v>0</v>
      </c>
      <c r="AM32" s="600">
        <f t="shared" si="75"/>
        <v>8000000</v>
      </c>
      <c r="AN32" s="600">
        <f t="shared" si="26"/>
        <v>8000000</v>
      </c>
      <c r="AO32" s="600">
        <f t="shared" si="27"/>
        <v>0</v>
      </c>
      <c r="AP32" s="600">
        <f t="shared" si="28"/>
        <v>6160503.4910934027</v>
      </c>
      <c r="AQ32" s="600">
        <f t="shared" si="76"/>
        <v>0</v>
      </c>
      <c r="AR32" s="600">
        <f t="shared" si="77"/>
        <v>8000000</v>
      </c>
      <c r="AS32" s="604">
        <f t="shared" si="29"/>
        <v>0</v>
      </c>
      <c r="AT32" s="605">
        <f t="shared" si="30"/>
        <v>0</v>
      </c>
      <c r="AU32" s="600">
        <f t="shared" si="31"/>
        <v>8000000</v>
      </c>
      <c r="AV32" s="600">
        <f t="shared" si="32"/>
        <v>8000000</v>
      </c>
      <c r="AW32" s="600">
        <f t="shared" si="33"/>
        <v>0</v>
      </c>
      <c r="AX32" s="600">
        <f t="shared" si="34"/>
        <v>6160503.4910934027</v>
      </c>
      <c r="AY32" s="600">
        <f t="shared" si="35"/>
        <v>1.2121093670875937E-11</v>
      </c>
      <c r="AZ32" s="600">
        <f t="shared" si="36"/>
        <v>8000000</v>
      </c>
      <c r="BA32" s="600">
        <f t="shared" si="37"/>
        <v>0</v>
      </c>
      <c r="BB32" s="600">
        <f t="shared" si="38"/>
        <v>0</v>
      </c>
      <c r="BC32" s="600">
        <f t="shared" si="39"/>
        <v>0</v>
      </c>
      <c r="BD32" s="600">
        <f t="shared" si="40"/>
        <v>0</v>
      </c>
      <c r="BE32" s="600">
        <f t="shared" si="41"/>
        <v>6160503.4910934027</v>
      </c>
      <c r="BF32" s="600">
        <f t="shared" si="42"/>
        <v>8000000</v>
      </c>
      <c r="BG32" s="600">
        <v>0</v>
      </c>
      <c r="BH32" s="600">
        <v>0</v>
      </c>
      <c r="BI32" s="600">
        <f t="shared" si="43"/>
        <v>0</v>
      </c>
      <c r="BJ32" s="600">
        <f t="shared" si="44"/>
        <v>8000000</v>
      </c>
      <c r="BK32" s="600">
        <f t="shared" si="45"/>
        <v>2810399.9999999995</v>
      </c>
      <c r="BL32" s="600">
        <v>8000000</v>
      </c>
      <c r="BM32" s="600">
        <f t="shared" si="46"/>
        <v>0</v>
      </c>
      <c r="BN32" s="600">
        <f t="shared" si="47"/>
        <v>0</v>
      </c>
      <c r="BO32" s="600">
        <f t="shared" si="48"/>
        <v>0</v>
      </c>
      <c r="BP32" s="600">
        <f t="shared" si="49"/>
        <v>2810399.9999999995</v>
      </c>
      <c r="BQ32" s="600">
        <f t="shared" si="50"/>
        <v>0</v>
      </c>
      <c r="BR32" s="600">
        <f t="shared" si="51"/>
        <v>0</v>
      </c>
      <c r="BT32" s="606">
        <f t="shared" si="52"/>
        <v>1</v>
      </c>
      <c r="BU32" s="607">
        <f t="shared" si="53"/>
        <v>0</v>
      </c>
      <c r="BV32" s="606">
        <f t="shared" si="54"/>
        <v>1</v>
      </c>
      <c r="BW32" s="607">
        <f t="shared" si="55"/>
        <v>0</v>
      </c>
      <c r="BX32" s="607">
        <f t="shared" si="56"/>
        <v>0</v>
      </c>
      <c r="BY32" s="607">
        <f t="shared" si="57"/>
        <v>0</v>
      </c>
      <c r="BZ32" s="607">
        <f t="shared" si="58"/>
        <v>0</v>
      </c>
      <c r="CA32" s="607">
        <f t="shared" si="59"/>
        <v>0</v>
      </c>
      <c r="CB32" s="607">
        <f t="shared" si="78"/>
        <v>0</v>
      </c>
      <c r="CC32" s="607">
        <f t="shared" si="60"/>
        <v>0</v>
      </c>
      <c r="CD32" s="607">
        <f t="shared" si="61"/>
        <v>0</v>
      </c>
      <c r="CE32" s="607">
        <f t="shared" si="62"/>
        <v>0</v>
      </c>
      <c r="CF32" s="607">
        <f t="shared" si="63"/>
        <v>0</v>
      </c>
      <c r="CG32" s="607">
        <f t="shared" si="64"/>
        <v>0</v>
      </c>
      <c r="CH32" s="607">
        <f t="shared" si="65"/>
        <v>8000000</v>
      </c>
      <c r="CI32" s="609"/>
      <c r="CK32" s="610" t="str">
        <f t="shared" si="79"/>
        <v/>
      </c>
      <c r="CL32" s="611" t="str">
        <f>IF(CK32="","",COUNTIFS($CK$16:CK32,"Yes")+MAX(State!AD:AD))</f>
        <v/>
      </c>
      <c r="CM32" s="612" t="b">
        <f>IF(C32="", "", AND(INDEX('Summary Dynamic'!$D$8:$D$10, MATCH(H32, 'Summary Dynamic'!$C$8:$C$10, 0))="Include", INDEX('Summary Dynamic'!$D$12:$D$14, MATCH(I32, 'Summary Dynamic'!$C$12:$C$14, 0))="Include", INDEX('Summary Dynamic'!$D$16:$D$17, MATCH(J32, 'Summary Dynamic'!$C$16:$C$17, 0))="Include", INDEX('Summary Dynamic'!$D$19:$D$20, MATCH(K32, 'Summary Dynamic'!$C$19:$C$20, 0))="Include", INDEX('Summary Dynamic'!$D$25:$D$26, MATCH(L32, 'Summary Dynamic'!$C$25:$C$26, 0))="Include",'Summary Dynamic'!$D$23="Include"))</f>
        <v>1</v>
      </c>
      <c r="CN32" s="613">
        <f>IFERROR(IF(CM32=TRUE, COUNTIFS($CM$16:CM32, TRUE), ""), "")</f>
        <v>17</v>
      </c>
      <c r="CP32" s="614" t="str">
        <f t="shared" si="66"/>
        <v>Non-Rural Private</v>
      </c>
      <c r="CY32" s="615"/>
      <c r="CZ32" s="616"/>
    </row>
    <row r="33" spans="2:104" x14ac:dyDescent="0.25">
      <c r="B33" s="617">
        <f t="shared" si="67"/>
        <v>18</v>
      </c>
      <c r="C33" s="593" t="s">
        <v>513</v>
      </c>
      <c r="D33" s="594" t="s">
        <v>513</v>
      </c>
      <c r="E33" s="594" t="s">
        <v>514</v>
      </c>
      <c r="F33" s="407" t="s">
        <v>515</v>
      </c>
      <c r="G33" s="408" t="s">
        <v>516</v>
      </c>
      <c r="H33" s="408" t="s">
        <v>22</v>
      </c>
      <c r="I33" s="408" t="s">
        <v>26</v>
      </c>
      <c r="J33" s="408" t="s">
        <v>35</v>
      </c>
      <c r="K33" s="408" t="s">
        <v>35</v>
      </c>
      <c r="L33" s="408" t="s">
        <v>35</v>
      </c>
      <c r="M33" s="408" t="s">
        <v>37</v>
      </c>
      <c r="N33" s="595" t="str">
        <f t="shared" si="18"/>
        <v>No</v>
      </c>
      <c r="O33" s="596">
        <v>35662</v>
      </c>
      <c r="P33" s="596">
        <v>184171</v>
      </c>
      <c r="Q33" s="597">
        <v>0.18003275223309412</v>
      </c>
      <c r="R33" s="596">
        <f t="shared" si="68"/>
        <v>33156.812011521179</v>
      </c>
      <c r="S33" s="596">
        <f t="shared" si="69"/>
        <v>68818.812011521179</v>
      </c>
      <c r="T33" s="596">
        <f t="shared" si="19"/>
        <v>68818.812011521179</v>
      </c>
      <c r="U33" s="598">
        <f t="shared" si="70"/>
        <v>1.6100320610262907E-2</v>
      </c>
      <c r="V33" s="599">
        <f t="shared" si="80"/>
        <v>0</v>
      </c>
      <c r="W33" s="600">
        <v>33684328.321250223</v>
      </c>
      <c r="X33" s="600">
        <v>0</v>
      </c>
      <c r="Y33" s="600">
        <v>28703898.035349201</v>
      </c>
      <c r="Z33" s="600">
        <f t="shared" si="71"/>
        <v>0</v>
      </c>
      <c r="AA33" s="600">
        <f t="shared" si="72"/>
        <v>33684328.321250223</v>
      </c>
      <c r="AB33" s="601">
        <f t="shared" si="21"/>
        <v>0</v>
      </c>
      <c r="AC33" s="599">
        <v>0</v>
      </c>
      <c r="AD33" s="599">
        <f>MAX(IF(M33="Yes",'Assumption Inputs'!$C$40,'Assumption Inputs'!$C$41),AC33)</f>
        <v>8000000</v>
      </c>
      <c r="AE33" s="599">
        <f t="shared" si="81"/>
        <v>8000000</v>
      </c>
      <c r="AF33" s="599">
        <f t="shared" si="23"/>
        <v>0</v>
      </c>
      <c r="AG33" s="599">
        <f t="shared" si="82"/>
        <v>0</v>
      </c>
      <c r="AH33" s="599">
        <f t="shared" si="83"/>
        <v>8000000</v>
      </c>
      <c r="AI33" s="599">
        <v>227033150.22188842</v>
      </c>
      <c r="AJ33" s="599">
        <v>201348821.90063819</v>
      </c>
      <c r="AK33" s="602">
        <f t="shared" si="74"/>
        <v>0.8868697003228474</v>
      </c>
      <c r="AL33" s="603">
        <f t="shared" si="25"/>
        <v>0</v>
      </c>
      <c r="AM33" s="600">
        <f t="shared" si="75"/>
        <v>8000000</v>
      </c>
      <c r="AN33" s="600">
        <f t="shared" si="26"/>
        <v>8000000</v>
      </c>
      <c r="AO33" s="600">
        <f t="shared" si="27"/>
        <v>0</v>
      </c>
      <c r="AP33" s="600">
        <f t="shared" si="28"/>
        <v>25684328.321250223</v>
      </c>
      <c r="AQ33" s="600">
        <f t="shared" si="76"/>
        <v>0</v>
      </c>
      <c r="AR33" s="600">
        <f t="shared" si="77"/>
        <v>8000000</v>
      </c>
      <c r="AS33" s="604">
        <f t="shared" si="29"/>
        <v>0</v>
      </c>
      <c r="AT33" s="605">
        <f t="shared" si="30"/>
        <v>0</v>
      </c>
      <c r="AU33" s="600">
        <f t="shared" si="31"/>
        <v>8000000</v>
      </c>
      <c r="AV33" s="600">
        <f t="shared" si="32"/>
        <v>8000000</v>
      </c>
      <c r="AW33" s="600">
        <f t="shared" si="33"/>
        <v>0</v>
      </c>
      <c r="AX33" s="600">
        <f t="shared" si="34"/>
        <v>25684328.321250223</v>
      </c>
      <c r="AY33" s="600">
        <f t="shared" si="35"/>
        <v>5.0535179454975092E-11</v>
      </c>
      <c r="AZ33" s="600">
        <f t="shared" si="36"/>
        <v>8000000</v>
      </c>
      <c r="BA33" s="600">
        <f t="shared" si="37"/>
        <v>0</v>
      </c>
      <c r="BB33" s="600">
        <f t="shared" si="38"/>
        <v>0</v>
      </c>
      <c r="BC33" s="600">
        <f t="shared" si="39"/>
        <v>0</v>
      </c>
      <c r="BD33" s="600">
        <f t="shared" si="40"/>
        <v>0</v>
      </c>
      <c r="BE33" s="600">
        <f t="shared" si="41"/>
        <v>25684328.321250223</v>
      </c>
      <c r="BF33" s="600">
        <f t="shared" si="42"/>
        <v>8000000</v>
      </c>
      <c r="BG33" s="600">
        <v>0</v>
      </c>
      <c r="BH33" s="600">
        <v>0</v>
      </c>
      <c r="BI33" s="600">
        <f t="shared" si="43"/>
        <v>0</v>
      </c>
      <c r="BJ33" s="600">
        <f t="shared" si="44"/>
        <v>8000000</v>
      </c>
      <c r="BK33" s="600">
        <f t="shared" si="45"/>
        <v>2810399.9999999995</v>
      </c>
      <c r="BL33" s="600">
        <v>8000000</v>
      </c>
      <c r="BM33" s="600">
        <f t="shared" si="46"/>
        <v>0</v>
      </c>
      <c r="BN33" s="600">
        <f t="shared" si="47"/>
        <v>0</v>
      </c>
      <c r="BO33" s="600">
        <f t="shared" si="48"/>
        <v>0</v>
      </c>
      <c r="BP33" s="600">
        <f t="shared" si="49"/>
        <v>2810399.9999999995</v>
      </c>
      <c r="BQ33" s="600">
        <f t="shared" si="50"/>
        <v>0</v>
      </c>
      <c r="BR33" s="600">
        <f t="shared" si="51"/>
        <v>0</v>
      </c>
      <c r="BT33" s="606">
        <f t="shared" si="52"/>
        <v>1</v>
      </c>
      <c r="BU33" s="607">
        <f t="shared" si="53"/>
        <v>0</v>
      </c>
      <c r="BV33" s="606">
        <f t="shared" si="54"/>
        <v>1</v>
      </c>
      <c r="BW33" s="607">
        <f t="shared" si="55"/>
        <v>0</v>
      </c>
      <c r="BX33" s="607">
        <f t="shared" si="56"/>
        <v>0</v>
      </c>
      <c r="BY33" s="607">
        <f t="shared" si="57"/>
        <v>0</v>
      </c>
      <c r="BZ33" s="607">
        <f t="shared" si="58"/>
        <v>0</v>
      </c>
      <c r="CA33" s="607">
        <f t="shared" si="59"/>
        <v>0</v>
      </c>
      <c r="CB33" s="607">
        <f t="shared" si="78"/>
        <v>0</v>
      </c>
      <c r="CC33" s="607">
        <f t="shared" si="60"/>
        <v>0</v>
      </c>
      <c r="CD33" s="607">
        <f t="shared" si="61"/>
        <v>0</v>
      </c>
      <c r="CE33" s="607">
        <f t="shared" si="62"/>
        <v>0</v>
      </c>
      <c r="CF33" s="607">
        <f t="shared" si="63"/>
        <v>0</v>
      </c>
      <c r="CG33" s="607">
        <f t="shared" si="64"/>
        <v>0</v>
      </c>
      <c r="CH33" s="607">
        <f t="shared" si="65"/>
        <v>8000000</v>
      </c>
      <c r="CI33" s="609"/>
      <c r="CK33" s="610" t="str">
        <f t="shared" si="79"/>
        <v/>
      </c>
      <c r="CL33" s="611" t="str">
        <f>IF(CK33="","",COUNTIFS($CK$16:CK33,"Yes")+MAX(State!AD:AD))</f>
        <v/>
      </c>
      <c r="CM33" s="612" t="b">
        <f>IF(C33="", "", AND(INDEX('Summary Dynamic'!$D$8:$D$10, MATCH(H33, 'Summary Dynamic'!$C$8:$C$10, 0))="Include", INDEX('Summary Dynamic'!$D$12:$D$14, MATCH(I33, 'Summary Dynamic'!$C$12:$C$14, 0))="Include", INDEX('Summary Dynamic'!$D$16:$D$17, MATCH(J33, 'Summary Dynamic'!$C$16:$C$17, 0))="Include", INDEX('Summary Dynamic'!$D$19:$D$20, MATCH(K33, 'Summary Dynamic'!$C$19:$C$20, 0))="Include", INDEX('Summary Dynamic'!$D$25:$D$26, MATCH(L33, 'Summary Dynamic'!$C$25:$C$26, 0))="Include",'Summary Dynamic'!$D$23="Include"))</f>
        <v>1</v>
      </c>
      <c r="CN33" s="613">
        <f>IFERROR(IF(CM33=TRUE, COUNTIFS($CM$16:CM33, TRUE), ""), "")</f>
        <v>18</v>
      </c>
      <c r="CP33" s="614" t="str">
        <f t="shared" si="66"/>
        <v>Non-Rural Private</v>
      </c>
      <c r="CY33" s="615"/>
      <c r="CZ33" s="616"/>
    </row>
    <row r="34" spans="2:104" x14ac:dyDescent="0.25">
      <c r="B34" s="617">
        <f t="shared" si="67"/>
        <v>19</v>
      </c>
      <c r="C34" s="593" t="s">
        <v>517</v>
      </c>
      <c r="D34" s="594" t="s">
        <v>517</v>
      </c>
      <c r="E34" s="594" t="s">
        <v>518</v>
      </c>
      <c r="F34" s="407" t="s">
        <v>519</v>
      </c>
      <c r="G34" s="408" t="s">
        <v>520</v>
      </c>
      <c r="H34" s="408" t="s">
        <v>22</v>
      </c>
      <c r="I34" s="408" t="s">
        <v>26</v>
      </c>
      <c r="J34" s="408" t="s">
        <v>35</v>
      </c>
      <c r="K34" s="408" t="s">
        <v>35</v>
      </c>
      <c r="L34" s="408" t="s">
        <v>35</v>
      </c>
      <c r="M34" s="408" t="s">
        <v>37</v>
      </c>
      <c r="N34" s="595" t="str">
        <f t="shared" si="18"/>
        <v>No</v>
      </c>
      <c r="O34" s="596">
        <v>6468</v>
      </c>
      <c r="P34" s="596">
        <v>44764</v>
      </c>
      <c r="Q34" s="597">
        <v>0.13211091278482073</v>
      </c>
      <c r="R34" s="596">
        <f t="shared" si="68"/>
        <v>5913.8128998997154</v>
      </c>
      <c r="S34" s="596">
        <f t="shared" si="69"/>
        <v>12381.812899899716</v>
      </c>
      <c r="T34" s="596">
        <f t="shared" si="19"/>
        <v>12381.812899899716</v>
      </c>
      <c r="U34" s="598">
        <f t="shared" si="70"/>
        <v>2.896753832241401E-3</v>
      </c>
      <c r="V34" s="599">
        <f t="shared" si="80"/>
        <v>0</v>
      </c>
      <c r="W34" s="600">
        <v>5557493.4725134177</v>
      </c>
      <c r="X34" s="600">
        <v>0</v>
      </c>
      <c r="Y34" s="600">
        <v>2818375.2529495563</v>
      </c>
      <c r="Z34" s="600">
        <f t="shared" si="71"/>
        <v>0</v>
      </c>
      <c r="AA34" s="600">
        <f t="shared" si="72"/>
        <v>5557493.4725134177</v>
      </c>
      <c r="AB34" s="601">
        <f t="shared" si="21"/>
        <v>0</v>
      </c>
      <c r="AC34" s="599">
        <v>0</v>
      </c>
      <c r="AD34" s="599">
        <f>MAX(IF(M34="Yes",'Assumption Inputs'!$C$40,'Assumption Inputs'!$C$41),AC34)</f>
        <v>8000000</v>
      </c>
      <c r="AE34" s="599">
        <f t="shared" si="81"/>
        <v>3605146.0156194544</v>
      </c>
      <c r="AF34" s="599">
        <f t="shared" si="23"/>
        <v>0</v>
      </c>
      <c r="AG34" s="599">
        <f t="shared" si="82"/>
        <v>0</v>
      </c>
      <c r="AH34" s="599">
        <f t="shared" si="83"/>
        <v>3605146.0156194544</v>
      </c>
      <c r="AI34" s="599">
        <v>29479539.955643676</v>
      </c>
      <c r="AJ34" s="599">
        <v>27527192.498749711</v>
      </c>
      <c r="AK34" s="602">
        <f t="shared" si="74"/>
        <v>0.93377279768166122</v>
      </c>
      <c r="AL34" s="603">
        <f t="shared" si="25"/>
        <v>0</v>
      </c>
      <c r="AM34" s="600">
        <f t="shared" si="75"/>
        <v>3605146.0156194544</v>
      </c>
      <c r="AN34" s="600">
        <f t="shared" si="26"/>
        <v>3605146.0156194544</v>
      </c>
      <c r="AO34" s="600">
        <f t="shared" si="27"/>
        <v>0</v>
      </c>
      <c r="AP34" s="600">
        <f t="shared" si="28"/>
        <v>1952347.4568939633</v>
      </c>
      <c r="AQ34" s="600">
        <f t="shared" si="76"/>
        <v>0</v>
      </c>
      <c r="AR34" s="600">
        <f t="shared" si="77"/>
        <v>3605146.0156194544</v>
      </c>
      <c r="AS34" s="604">
        <f t="shared" si="29"/>
        <v>0</v>
      </c>
      <c r="AT34" s="605">
        <f t="shared" si="30"/>
        <v>0</v>
      </c>
      <c r="AU34" s="600">
        <f t="shared" si="31"/>
        <v>3605146.0156194544</v>
      </c>
      <c r="AV34" s="600">
        <f t="shared" si="32"/>
        <v>3605146.0156194544</v>
      </c>
      <c r="AW34" s="600">
        <f t="shared" si="33"/>
        <v>0</v>
      </c>
      <c r="AX34" s="600">
        <f t="shared" si="34"/>
        <v>1952347.4568939633</v>
      </c>
      <c r="AY34" s="600">
        <f t="shared" si="35"/>
        <v>3.8413396627924024E-12</v>
      </c>
      <c r="AZ34" s="600">
        <f t="shared" si="36"/>
        <v>3605146.0156194544</v>
      </c>
      <c r="BA34" s="600">
        <f t="shared" si="37"/>
        <v>0</v>
      </c>
      <c r="BB34" s="600">
        <f t="shared" si="38"/>
        <v>0</v>
      </c>
      <c r="BC34" s="600">
        <f t="shared" si="39"/>
        <v>0</v>
      </c>
      <c r="BD34" s="600">
        <f t="shared" si="40"/>
        <v>0</v>
      </c>
      <c r="BE34" s="600">
        <f t="shared" si="41"/>
        <v>1952347.4568939633</v>
      </c>
      <c r="BF34" s="600">
        <f t="shared" si="42"/>
        <v>3605146.0156194544</v>
      </c>
      <c r="BG34" s="600">
        <v>0</v>
      </c>
      <c r="BH34" s="600">
        <v>0</v>
      </c>
      <c r="BI34" s="600">
        <f t="shared" si="43"/>
        <v>0</v>
      </c>
      <c r="BJ34" s="600">
        <f t="shared" si="44"/>
        <v>3605146.02</v>
      </c>
      <c r="BK34" s="600">
        <f t="shared" si="45"/>
        <v>1266487.7968259999</v>
      </c>
      <c r="BL34" s="600">
        <v>3605146.02</v>
      </c>
      <c r="BM34" s="600">
        <f t="shared" si="46"/>
        <v>0</v>
      </c>
      <c r="BN34" s="600">
        <f t="shared" si="47"/>
        <v>0</v>
      </c>
      <c r="BO34" s="600">
        <f t="shared" si="48"/>
        <v>0</v>
      </c>
      <c r="BP34" s="600">
        <f t="shared" si="49"/>
        <v>1266487.7968259999</v>
      </c>
      <c r="BQ34" s="600">
        <f t="shared" si="50"/>
        <v>0</v>
      </c>
      <c r="BR34" s="600">
        <f t="shared" si="51"/>
        <v>0</v>
      </c>
      <c r="BT34" s="606">
        <f t="shared" si="52"/>
        <v>1</v>
      </c>
      <c r="BU34" s="607">
        <f t="shared" si="53"/>
        <v>0</v>
      </c>
      <c r="BV34" s="606">
        <f t="shared" si="54"/>
        <v>1</v>
      </c>
      <c r="BW34" s="607">
        <f t="shared" si="55"/>
        <v>0</v>
      </c>
      <c r="BX34" s="607">
        <f t="shared" si="56"/>
        <v>0</v>
      </c>
      <c r="BY34" s="607">
        <f t="shared" si="57"/>
        <v>0</v>
      </c>
      <c r="BZ34" s="607">
        <f t="shared" si="58"/>
        <v>0</v>
      </c>
      <c r="CA34" s="607">
        <f t="shared" si="59"/>
        <v>0</v>
      </c>
      <c r="CB34" s="607">
        <f t="shared" si="78"/>
        <v>0</v>
      </c>
      <c r="CC34" s="607">
        <f t="shared" si="60"/>
        <v>0</v>
      </c>
      <c r="CD34" s="607">
        <f t="shared" si="61"/>
        <v>0</v>
      </c>
      <c r="CE34" s="607">
        <f t="shared" si="62"/>
        <v>0</v>
      </c>
      <c r="CF34" s="607">
        <f t="shared" si="63"/>
        <v>0</v>
      </c>
      <c r="CG34" s="607">
        <f t="shared" si="64"/>
        <v>0</v>
      </c>
      <c r="CH34" s="607">
        <f t="shared" si="65"/>
        <v>3605146.02</v>
      </c>
      <c r="CI34" s="609"/>
      <c r="CK34" s="610" t="str">
        <f t="shared" si="79"/>
        <v/>
      </c>
      <c r="CL34" s="611" t="str">
        <f>IF(CK34="","",COUNTIFS($CK$16:CK34,"Yes")+MAX(State!AD:AD))</f>
        <v/>
      </c>
      <c r="CM34" s="612" t="b">
        <f>IF(C34="", "", AND(INDEX('Summary Dynamic'!$D$8:$D$10, MATCH(H34, 'Summary Dynamic'!$C$8:$C$10, 0))="Include", INDEX('Summary Dynamic'!$D$12:$D$14, MATCH(I34, 'Summary Dynamic'!$C$12:$C$14, 0))="Include", INDEX('Summary Dynamic'!$D$16:$D$17, MATCH(J34, 'Summary Dynamic'!$C$16:$C$17, 0))="Include", INDEX('Summary Dynamic'!$D$19:$D$20, MATCH(K34, 'Summary Dynamic'!$C$19:$C$20, 0))="Include", INDEX('Summary Dynamic'!$D$25:$D$26, MATCH(L34, 'Summary Dynamic'!$C$25:$C$26, 0))="Include",'Summary Dynamic'!$D$23="Include"))</f>
        <v>1</v>
      </c>
      <c r="CN34" s="613">
        <f>IFERROR(IF(CM34=TRUE, COUNTIFS($CM$16:CM34, TRUE), ""), "")</f>
        <v>19</v>
      </c>
      <c r="CP34" s="614" t="str">
        <f t="shared" si="66"/>
        <v>Non-Rural Private</v>
      </c>
      <c r="CY34" s="615"/>
      <c r="CZ34" s="616"/>
    </row>
    <row r="35" spans="2:104" x14ac:dyDescent="0.25">
      <c r="B35" s="617">
        <f t="shared" si="67"/>
        <v>20</v>
      </c>
      <c r="C35" s="593" t="s">
        <v>521</v>
      </c>
      <c r="D35" s="594" t="s">
        <v>521</v>
      </c>
      <c r="E35" s="594" t="s">
        <v>522</v>
      </c>
      <c r="F35" s="407" t="s">
        <v>523</v>
      </c>
      <c r="G35" s="408" t="s">
        <v>524</v>
      </c>
      <c r="H35" s="408" t="s">
        <v>22</v>
      </c>
      <c r="I35" s="408" t="s">
        <v>28</v>
      </c>
      <c r="J35" s="408" t="s">
        <v>31</v>
      </c>
      <c r="K35" s="408" t="s">
        <v>35</v>
      </c>
      <c r="L35" s="408" t="s">
        <v>35</v>
      </c>
      <c r="M35" s="408" t="s">
        <v>35</v>
      </c>
      <c r="N35" s="595" t="str">
        <f t="shared" si="18"/>
        <v>Yes</v>
      </c>
      <c r="O35" s="596">
        <v>706</v>
      </c>
      <c r="P35" s="596">
        <v>2558</v>
      </c>
      <c r="Q35" s="597">
        <v>0.10664061138907466</v>
      </c>
      <c r="R35" s="596">
        <f t="shared" si="68"/>
        <v>272.78668393325296</v>
      </c>
      <c r="S35" s="596">
        <f t="shared" si="69"/>
        <v>978.78668393325302</v>
      </c>
      <c r="T35" s="596">
        <f t="shared" si="19"/>
        <v>1322.6344459990048</v>
      </c>
      <c r="U35" s="598">
        <f t="shared" si="70"/>
        <v>3.0943339485715621E-4</v>
      </c>
      <c r="V35" s="599">
        <f t="shared" si="80"/>
        <v>0</v>
      </c>
      <c r="W35" s="600">
        <v>6543634.2395856865</v>
      </c>
      <c r="X35" s="600">
        <v>0</v>
      </c>
      <c r="Y35" s="600">
        <v>950483.22446973599</v>
      </c>
      <c r="Z35" s="600">
        <f t="shared" si="71"/>
        <v>0</v>
      </c>
      <c r="AA35" s="600">
        <f t="shared" si="72"/>
        <v>6543634.2395856865</v>
      </c>
      <c r="AB35" s="601">
        <f t="shared" si="21"/>
        <v>0</v>
      </c>
      <c r="AC35" s="599">
        <v>2140043.2483422132</v>
      </c>
      <c r="AD35" s="599">
        <f>MAX(IF(M35="Yes",'Assumption Inputs'!$C$40,'Assumption Inputs'!$C$41),AC35)</f>
        <v>6000000</v>
      </c>
      <c r="AE35" s="599">
        <f t="shared" si="81"/>
        <v>4244855.5312192356</v>
      </c>
      <c r="AF35" s="599">
        <f t="shared" si="23"/>
        <v>2298778.7083664518</v>
      </c>
      <c r="AG35" s="599">
        <f t="shared" si="82"/>
        <v>0</v>
      </c>
      <c r="AH35" s="599">
        <f t="shared" si="83"/>
        <v>6543634.2395856874</v>
      </c>
      <c r="AI35" s="599">
        <v>10490640.626783557</v>
      </c>
      <c r="AJ35" s="599">
        <v>10490640.626783557</v>
      </c>
      <c r="AK35" s="602">
        <f t="shared" si="74"/>
        <v>1</v>
      </c>
      <c r="AL35" s="603">
        <f t="shared" si="25"/>
        <v>0</v>
      </c>
      <c r="AM35" s="600">
        <f t="shared" si="75"/>
        <v>4244855.5312192356</v>
      </c>
      <c r="AN35" s="600">
        <f t="shared" si="26"/>
        <v>4244855.5312192356</v>
      </c>
      <c r="AO35" s="600">
        <f t="shared" si="27"/>
        <v>0</v>
      </c>
      <c r="AP35" s="600">
        <f t="shared" si="28"/>
        <v>2298778.7083664509</v>
      </c>
      <c r="AQ35" s="600">
        <f t="shared" si="76"/>
        <v>0</v>
      </c>
      <c r="AR35" s="600">
        <f t="shared" si="77"/>
        <v>4244855.5312192356</v>
      </c>
      <c r="AS35" s="604">
        <f t="shared" si="29"/>
        <v>2298778.7083664518</v>
      </c>
      <c r="AT35" s="605">
        <f t="shared" si="30"/>
        <v>0</v>
      </c>
      <c r="AU35" s="600">
        <f t="shared" si="31"/>
        <v>6543634.2395856874</v>
      </c>
      <c r="AV35" s="600">
        <f t="shared" si="32"/>
        <v>6543634.2395856865</v>
      </c>
      <c r="AW35" s="600">
        <f t="shared" si="33"/>
        <v>9.3132257461547852E-10</v>
      </c>
      <c r="AX35" s="600">
        <f t="shared" si="34"/>
        <v>0</v>
      </c>
      <c r="AY35" s="600">
        <f t="shared" si="35"/>
        <v>0</v>
      </c>
      <c r="AZ35" s="600">
        <f t="shared" si="36"/>
        <v>6543634.2395856865</v>
      </c>
      <c r="BA35" s="600">
        <f t="shared" si="37"/>
        <v>-3.2717362046241755E-10</v>
      </c>
      <c r="BB35" s="600">
        <f t="shared" si="38"/>
        <v>0</v>
      </c>
      <c r="BC35" s="600">
        <f t="shared" si="39"/>
        <v>0</v>
      </c>
      <c r="BD35" s="600">
        <f t="shared" si="40"/>
        <v>2298778.7083664513</v>
      </c>
      <c r="BE35" s="600">
        <f t="shared" si="41"/>
        <v>0</v>
      </c>
      <c r="BF35" s="600">
        <f t="shared" si="42"/>
        <v>4244855.5312192347</v>
      </c>
      <c r="BG35" s="600">
        <v>0</v>
      </c>
      <c r="BH35" s="600">
        <v>0</v>
      </c>
      <c r="BI35" s="600">
        <f t="shared" si="43"/>
        <v>0</v>
      </c>
      <c r="BJ35" s="600">
        <f t="shared" si="44"/>
        <v>6543634.2400000002</v>
      </c>
      <c r="BK35" s="600">
        <f t="shared" si="45"/>
        <v>2298778.7085119998</v>
      </c>
      <c r="BL35" s="600">
        <v>6543634.2400000002</v>
      </c>
      <c r="BM35" s="600">
        <f t="shared" si="46"/>
        <v>0</v>
      </c>
      <c r="BN35" s="600">
        <f t="shared" si="47"/>
        <v>0</v>
      </c>
      <c r="BO35" s="600">
        <f t="shared" si="48"/>
        <v>2298778.71</v>
      </c>
      <c r="BP35" s="600">
        <f t="shared" si="49"/>
        <v>2298778.7085119998</v>
      </c>
      <c r="BQ35" s="600">
        <f t="shared" si="50"/>
        <v>0</v>
      </c>
      <c r="BR35" s="600">
        <f t="shared" si="51"/>
        <v>2298778.71</v>
      </c>
      <c r="BT35" s="606">
        <f t="shared" si="52"/>
        <v>1.6237592605444429</v>
      </c>
      <c r="BU35" s="607">
        <f t="shared" si="53"/>
        <v>0</v>
      </c>
      <c r="BV35" s="606">
        <f t="shared" si="54"/>
        <v>1</v>
      </c>
      <c r="BW35" s="607">
        <f t="shared" si="55"/>
        <v>0</v>
      </c>
      <c r="BX35" s="607">
        <f t="shared" si="56"/>
        <v>0</v>
      </c>
      <c r="BY35" s="607">
        <f t="shared" si="57"/>
        <v>0</v>
      </c>
      <c r="BZ35" s="607">
        <f t="shared" si="58"/>
        <v>0</v>
      </c>
      <c r="CA35" s="607">
        <f t="shared" si="59"/>
        <v>0</v>
      </c>
      <c r="CB35" s="607">
        <f t="shared" si="78"/>
        <v>0</v>
      </c>
      <c r="CC35" s="607">
        <f t="shared" si="60"/>
        <v>0</v>
      </c>
      <c r="CD35" s="607">
        <f t="shared" si="61"/>
        <v>0</v>
      </c>
      <c r="CE35" s="607">
        <f t="shared" si="62"/>
        <v>0</v>
      </c>
      <c r="CF35" s="607">
        <f t="shared" si="63"/>
        <v>0</v>
      </c>
      <c r="CG35" s="607">
        <f t="shared" si="64"/>
        <v>0</v>
      </c>
      <c r="CH35" s="607">
        <f t="shared" si="65"/>
        <v>6543634.2400000002</v>
      </c>
      <c r="CI35" s="609"/>
      <c r="CK35" s="610" t="str">
        <f t="shared" si="79"/>
        <v/>
      </c>
      <c r="CL35" s="611" t="str">
        <f>IF(CK35="","",COUNTIFS($CK$16:CK35,"Yes")+MAX(State!AD:AD))</f>
        <v/>
      </c>
      <c r="CM35" s="612" t="b">
        <f>IF(C35="", "", AND(INDEX('Summary Dynamic'!$D$8:$D$10, MATCH(H35, 'Summary Dynamic'!$C$8:$C$10, 0))="Include", INDEX('Summary Dynamic'!$D$12:$D$14, MATCH(I35, 'Summary Dynamic'!$C$12:$C$14, 0))="Include", INDEX('Summary Dynamic'!$D$16:$D$17, MATCH(J35, 'Summary Dynamic'!$C$16:$C$17, 0))="Include", INDEX('Summary Dynamic'!$D$19:$D$20, MATCH(K35, 'Summary Dynamic'!$C$19:$C$20, 0))="Include", INDEX('Summary Dynamic'!$D$25:$D$26, MATCH(L35, 'Summary Dynamic'!$C$25:$C$26, 0))="Include",'Summary Dynamic'!$D$23="Include"))</f>
        <v>1</v>
      </c>
      <c r="CN35" s="613">
        <f>IFERROR(IF(CM35=TRUE, COUNTIFS($CM$16:CM35, TRUE), ""), "")</f>
        <v>20</v>
      </c>
      <c r="CP35" s="614" t="str">
        <f t="shared" si="66"/>
        <v>Rural Public</v>
      </c>
      <c r="CY35" s="615"/>
      <c r="CZ35" s="616"/>
    </row>
    <row r="36" spans="2:104" x14ac:dyDescent="0.25">
      <c r="B36" s="617">
        <f t="shared" si="67"/>
        <v>21</v>
      </c>
      <c r="C36" s="593" t="s">
        <v>525</v>
      </c>
      <c r="D36" s="594" t="s">
        <v>525</v>
      </c>
      <c r="E36" s="594" t="s">
        <v>526</v>
      </c>
      <c r="F36" s="407" t="s">
        <v>527</v>
      </c>
      <c r="G36" s="408" t="s">
        <v>528</v>
      </c>
      <c r="H36" s="408" t="s">
        <v>22</v>
      </c>
      <c r="I36" s="408" t="s">
        <v>28</v>
      </c>
      <c r="J36" s="408" t="s">
        <v>31</v>
      </c>
      <c r="K36" s="408" t="s">
        <v>35</v>
      </c>
      <c r="L36" s="408" t="s">
        <v>35</v>
      </c>
      <c r="M36" s="408" t="s">
        <v>35</v>
      </c>
      <c r="N36" s="595" t="str">
        <f t="shared" si="18"/>
        <v>Yes</v>
      </c>
      <c r="O36" s="596">
        <v>558</v>
      </c>
      <c r="P36" s="596">
        <v>3131</v>
      </c>
      <c r="Q36" s="597">
        <v>0.13583686888610302</v>
      </c>
      <c r="R36" s="596">
        <f t="shared" si="68"/>
        <v>425.30523648238858</v>
      </c>
      <c r="S36" s="596">
        <f t="shared" si="69"/>
        <v>983.30523648238864</v>
      </c>
      <c r="T36" s="596">
        <f t="shared" si="19"/>
        <v>1328.7403660586517</v>
      </c>
      <c r="U36" s="598">
        <f t="shared" si="70"/>
        <v>3.1086188901024466E-4</v>
      </c>
      <c r="V36" s="599">
        <f t="shared" si="80"/>
        <v>0</v>
      </c>
      <c r="W36" s="600">
        <v>2490404.2175296526</v>
      </c>
      <c r="X36" s="600">
        <v>0</v>
      </c>
      <c r="Y36" s="600">
        <v>575436.33486315561</v>
      </c>
      <c r="Z36" s="600">
        <f t="shared" si="71"/>
        <v>0</v>
      </c>
      <c r="AA36" s="600">
        <f t="shared" si="72"/>
        <v>2490404.2175296526</v>
      </c>
      <c r="AB36" s="601">
        <f t="shared" si="21"/>
        <v>0</v>
      </c>
      <c r="AC36" s="599">
        <v>573345.12223107833</v>
      </c>
      <c r="AD36" s="599">
        <f>MAX(IF(M36="Yes",'Assumption Inputs'!$C$40,'Assumption Inputs'!$C$41),AC36)</f>
        <v>6000000</v>
      </c>
      <c r="AE36" s="599">
        <f t="shared" si="81"/>
        <v>1615525.215911486</v>
      </c>
      <c r="AF36" s="599">
        <f t="shared" si="23"/>
        <v>874879.0016181668</v>
      </c>
      <c r="AG36" s="599">
        <f t="shared" si="82"/>
        <v>0</v>
      </c>
      <c r="AH36" s="599">
        <f t="shared" si="83"/>
        <v>2490404.2175296526</v>
      </c>
      <c r="AI36" s="599">
        <v>5237348.0727007426</v>
      </c>
      <c r="AJ36" s="599">
        <v>5237348.0727007426</v>
      </c>
      <c r="AK36" s="602">
        <f t="shared" si="74"/>
        <v>1</v>
      </c>
      <c r="AL36" s="603">
        <f t="shared" si="25"/>
        <v>0</v>
      </c>
      <c r="AM36" s="600">
        <f t="shared" si="75"/>
        <v>1615525.215911486</v>
      </c>
      <c r="AN36" s="600">
        <f t="shared" si="26"/>
        <v>1615525.215911486</v>
      </c>
      <c r="AO36" s="600">
        <f t="shared" si="27"/>
        <v>0</v>
      </c>
      <c r="AP36" s="600">
        <f t="shared" si="28"/>
        <v>874879.00161816669</v>
      </c>
      <c r="AQ36" s="600">
        <f t="shared" si="76"/>
        <v>0</v>
      </c>
      <c r="AR36" s="600">
        <f t="shared" si="77"/>
        <v>1615525.215911486</v>
      </c>
      <c r="AS36" s="604">
        <f t="shared" si="29"/>
        <v>874879.0016181668</v>
      </c>
      <c r="AT36" s="605">
        <f t="shared" si="30"/>
        <v>0</v>
      </c>
      <c r="AU36" s="600">
        <f t="shared" si="31"/>
        <v>2490404.2175296526</v>
      </c>
      <c r="AV36" s="600">
        <f t="shared" si="32"/>
        <v>2490404.2175296526</v>
      </c>
      <c r="AW36" s="600">
        <f t="shared" si="33"/>
        <v>0</v>
      </c>
      <c r="AX36" s="600">
        <f t="shared" si="34"/>
        <v>0</v>
      </c>
      <c r="AY36" s="600">
        <f t="shared" si="35"/>
        <v>0</v>
      </c>
      <c r="AZ36" s="600">
        <f t="shared" si="36"/>
        <v>2490404.2175296526</v>
      </c>
      <c r="BA36" s="600">
        <f t="shared" si="37"/>
        <v>0</v>
      </c>
      <c r="BB36" s="600">
        <f t="shared" si="38"/>
        <v>0</v>
      </c>
      <c r="BC36" s="600">
        <f t="shared" si="39"/>
        <v>0</v>
      </c>
      <c r="BD36" s="600">
        <f t="shared" si="40"/>
        <v>874879.0016181668</v>
      </c>
      <c r="BE36" s="600">
        <f t="shared" si="41"/>
        <v>0</v>
      </c>
      <c r="BF36" s="600">
        <f t="shared" si="42"/>
        <v>1615525.2159114857</v>
      </c>
      <c r="BG36" s="600">
        <v>0</v>
      </c>
      <c r="BH36" s="600">
        <v>0</v>
      </c>
      <c r="BI36" s="600">
        <f t="shared" si="43"/>
        <v>0</v>
      </c>
      <c r="BJ36" s="600">
        <f t="shared" si="44"/>
        <v>2490404.2200000002</v>
      </c>
      <c r="BK36" s="600">
        <f t="shared" si="45"/>
        <v>874879.00248599995</v>
      </c>
      <c r="BL36" s="600">
        <v>2490404.2200000002</v>
      </c>
      <c r="BM36" s="600">
        <f t="shared" si="46"/>
        <v>0</v>
      </c>
      <c r="BN36" s="600">
        <f t="shared" si="47"/>
        <v>0</v>
      </c>
      <c r="BO36" s="600">
        <f t="shared" si="48"/>
        <v>874879</v>
      </c>
      <c r="BP36" s="600">
        <f t="shared" si="49"/>
        <v>874879.00248599995</v>
      </c>
      <c r="BQ36" s="600">
        <f t="shared" si="50"/>
        <v>0</v>
      </c>
      <c r="BR36" s="600">
        <f t="shared" si="51"/>
        <v>874879</v>
      </c>
      <c r="BT36" s="606">
        <f t="shared" si="52"/>
        <v>1.4755086325044984</v>
      </c>
      <c r="BU36" s="607">
        <f t="shared" si="53"/>
        <v>0</v>
      </c>
      <c r="BV36" s="606">
        <f t="shared" si="54"/>
        <v>1</v>
      </c>
      <c r="BW36" s="607">
        <f t="shared" si="55"/>
        <v>0</v>
      </c>
      <c r="BX36" s="607">
        <f t="shared" si="56"/>
        <v>0</v>
      </c>
      <c r="BY36" s="607">
        <f t="shared" si="57"/>
        <v>0</v>
      </c>
      <c r="BZ36" s="607">
        <f t="shared" si="58"/>
        <v>0</v>
      </c>
      <c r="CA36" s="607">
        <f t="shared" si="59"/>
        <v>0</v>
      </c>
      <c r="CB36" s="607">
        <f t="shared" si="78"/>
        <v>0</v>
      </c>
      <c r="CC36" s="607">
        <f t="shared" si="60"/>
        <v>0</v>
      </c>
      <c r="CD36" s="607">
        <f t="shared" si="61"/>
        <v>0</v>
      </c>
      <c r="CE36" s="607">
        <f t="shared" si="62"/>
        <v>0</v>
      </c>
      <c r="CF36" s="607">
        <f t="shared" si="63"/>
        <v>0</v>
      </c>
      <c r="CG36" s="607">
        <f t="shared" si="64"/>
        <v>0</v>
      </c>
      <c r="CH36" s="607">
        <f t="shared" si="65"/>
        <v>2490404.2200000002</v>
      </c>
      <c r="CI36" s="609"/>
      <c r="CK36" s="610" t="str">
        <f t="shared" si="79"/>
        <v/>
      </c>
      <c r="CL36" s="611" t="str">
        <f>IF(CK36="","",COUNTIFS($CK$16:CK36,"Yes")+MAX(State!AD:AD))</f>
        <v/>
      </c>
      <c r="CM36" s="612" t="b">
        <f>IF(C36="", "", AND(INDEX('Summary Dynamic'!$D$8:$D$10, MATCH(H36, 'Summary Dynamic'!$C$8:$C$10, 0))="Include", INDEX('Summary Dynamic'!$D$12:$D$14, MATCH(I36, 'Summary Dynamic'!$C$12:$C$14, 0))="Include", INDEX('Summary Dynamic'!$D$16:$D$17, MATCH(J36, 'Summary Dynamic'!$C$16:$C$17, 0))="Include", INDEX('Summary Dynamic'!$D$19:$D$20, MATCH(K36, 'Summary Dynamic'!$C$19:$C$20, 0))="Include", INDEX('Summary Dynamic'!$D$25:$D$26, MATCH(L36, 'Summary Dynamic'!$C$25:$C$26, 0))="Include",'Summary Dynamic'!$D$23="Include"))</f>
        <v>1</v>
      </c>
      <c r="CN36" s="613">
        <f>IFERROR(IF(CM36=TRUE, COUNTIFS($CM$16:CM36, TRUE), ""), "")</f>
        <v>21</v>
      </c>
      <c r="CP36" s="614" t="str">
        <f t="shared" si="66"/>
        <v>Rural Public</v>
      </c>
      <c r="CY36" s="615"/>
      <c r="CZ36" s="616"/>
    </row>
    <row r="37" spans="2:104" x14ac:dyDescent="0.25">
      <c r="B37" s="617">
        <f t="shared" si="67"/>
        <v>22</v>
      </c>
      <c r="C37" s="593" t="s">
        <v>529</v>
      </c>
      <c r="D37" s="594" t="s">
        <v>529</v>
      </c>
      <c r="E37" s="594" t="s">
        <v>530</v>
      </c>
      <c r="F37" s="407" t="s">
        <v>531</v>
      </c>
      <c r="G37" s="408" t="s">
        <v>532</v>
      </c>
      <c r="H37" s="408" t="s">
        <v>22</v>
      </c>
      <c r="I37" s="408" t="s">
        <v>26</v>
      </c>
      <c r="J37" s="408" t="s">
        <v>35</v>
      </c>
      <c r="K37" s="408" t="s">
        <v>35</v>
      </c>
      <c r="L37" s="408" t="s">
        <v>35</v>
      </c>
      <c r="M37" s="408" t="s">
        <v>37</v>
      </c>
      <c r="N37" s="595" t="str">
        <f t="shared" si="18"/>
        <v>No</v>
      </c>
      <c r="O37" s="596">
        <v>13394</v>
      </c>
      <c r="P37" s="596">
        <v>86053</v>
      </c>
      <c r="Q37" s="597">
        <v>0.20092180687712924</v>
      </c>
      <c r="R37" s="596">
        <f t="shared" si="68"/>
        <v>17289.924247197603</v>
      </c>
      <c r="S37" s="596">
        <f t="shared" si="69"/>
        <v>30683.924247197603</v>
      </c>
      <c r="T37" s="596">
        <f t="shared" si="19"/>
        <v>30683.924247197603</v>
      </c>
      <c r="U37" s="598">
        <f t="shared" si="70"/>
        <v>7.1785752110657712E-3</v>
      </c>
      <c r="V37" s="599">
        <f t="shared" si="80"/>
        <v>0</v>
      </c>
      <c r="W37" s="600">
        <v>11900185.242964042</v>
      </c>
      <c r="X37" s="600">
        <v>0</v>
      </c>
      <c r="Y37" s="600">
        <v>19927645.143132374</v>
      </c>
      <c r="Z37" s="600">
        <f t="shared" si="71"/>
        <v>0</v>
      </c>
      <c r="AA37" s="600">
        <f t="shared" si="72"/>
        <v>11900185.242964042</v>
      </c>
      <c r="AB37" s="601">
        <f t="shared" si="21"/>
        <v>0</v>
      </c>
      <c r="AC37" s="599">
        <v>0</v>
      </c>
      <c r="AD37" s="599">
        <f>MAX(IF(M37="Yes",'Assumption Inputs'!$C$40,'Assumption Inputs'!$C$41),AC37)</f>
        <v>8000000</v>
      </c>
      <c r="AE37" s="599">
        <f t="shared" si="81"/>
        <v>7719650.1671107756</v>
      </c>
      <c r="AF37" s="599">
        <f t="shared" si="23"/>
        <v>0</v>
      </c>
      <c r="AG37" s="599">
        <f t="shared" si="82"/>
        <v>0</v>
      </c>
      <c r="AH37" s="599">
        <f t="shared" si="83"/>
        <v>7719650.1671107756</v>
      </c>
      <c r="AI37" s="599">
        <v>89138890.088275105</v>
      </c>
      <c r="AJ37" s="599">
        <v>84958355.012421846</v>
      </c>
      <c r="AK37" s="602">
        <f t="shared" si="74"/>
        <v>0.95310088479099042</v>
      </c>
      <c r="AL37" s="603">
        <f t="shared" si="25"/>
        <v>0</v>
      </c>
      <c r="AM37" s="600">
        <f t="shared" si="75"/>
        <v>7719650.1671107756</v>
      </c>
      <c r="AN37" s="600">
        <f t="shared" si="26"/>
        <v>7719650.1671107756</v>
      </c>
      <c r="AO37" s="600">
        <f t="shared" si="27"/>
        <v>0</v>
      </c>
      <c r="AP37" s="600">
        <f t="shared" si="28"/>
        <v>4180535.0758532668</v>
      </c>
      <c r="AQ37" s="600">
        <f t="shared" si="76"/>
        <v>0</v>
      </c>
      <c r="AR37" s="600">
        <f t="shared" si="77"/>
        <v>7719650.1671107756</v>
      </c>
      <c r="AS37" s="604">
        <f t="shared" si="29"/>
        <v>0</v>
      </c>
      <c r="AT37" s="605">
        <f t="shared" si="30"/>
        <v>0</v>
      </c>
      <c r="AU37" s="600">
        <f t="shared" si="31"/>
        <v>7719650.1671107756</v>
      </c>
      <c r="AV37" s="600">
        <f t="shared" si="32"/>
        <v>7719650.1671107756</v>
      </c>
      <c r="AW37" s="600">
        <f t="shared" si="33"/>
        <v>0</v>
      </c>
      <c r="AX37" s="600">
        <f t="shared" si="34"/>
        <v>4180535.0758532668</v>
      </c>
      <c r="AY37" s="600">
        <f t="shared" si="35"/>
        <v>8.2254084137863552E-12</v>
      </c>
      <c r="AZ37" s="600">
        <f t="shared" si="36"/>
        <v>7719650.1671107756</v>
      </c>
      <c r="BA37" s="600">
        <f t="shared" si="37"/>
        <v>0</v>
      </c>
      <c r="BB37" s="600">
        <f t="shared" si="38"/>
        <v>0</v>
      </c>
      <c r="BC37" s="600">
        <f t="shared" si="39"/>
        <v>0</v>
      </c>
      <c r="BD37" s="600">
        <f t="shared" si="40"/>
        <v>0</v>
      </c>
      <c r="BE37" s="600">
        <f t="shared" si="41"/>
        <v>4180535.0758532668</v>
      </c>
      <c r="BF37" s="600">
        <f t="shared" si="42"/>
        <v>7719650.1671107756</v>
      </c>
      <c r="BG37" s="600">
        <v>0</v>
      </c>
      <c r="BH37" s="600">
        <v>0</v>
      </c>
      <c r="BI37" s="600">
        <f t="shared" si="43"/>
        <v>0</v>
      </c>
      <c r="BJ37" s="600">
        <f t="shared" si="44"/>
        <v>7719650.1699999999</v>
      </c>
      <c r="BK37" s="600">
        <f t="shared" si="45"/>
        <v>2711913.1047209995</v>
      </c>
      <c r="BL37" s="600">
        <v>7719650.1699999999</v>
      </c>
      <c r="BM37" s="600">
        <f t="shared" si="46"/>
        <v>0</v>
      </c>
      <c r="BN37" s="600">
        <f t="shared" si="47"/>
        <v>0</v>
      </c>
      <c r="BO37" s="600">
        <f t="shared" si="48"/>
        <v>0</v>
      </c>
      <c r="BP37" s="600">
        <f t="shared" si="49"/>
        <v>2711913.1047209995</v>
      </c>
      <c r="BQ37" s="600">
        <f t="shared" si="50"/>
        <v>0</v>
      </c>
      <c r="BR37" s="600">
        <f t="shared" si="51"/>
        <v>0</v>
      </c>
      <c r="BT37" s="606">
        <f t="shared" si="52"/>
        <v>1</v>
      </c>
      <c r="BU37" s="607">
        <f t="shared" si="53"/>
        <v>0</v>
      </c>
      <c r="BV37" s="606">
        <f t="shared" si="54"/>
        <v>1</v>
      </c>
      <c r="BW37" s="607">
        <f t="shared" si="55"/>
        <v>0</v>
      </c>
      <c r="BX37" s="607">
        <f t="shared" si="56"/>
        <v>0</v>
      </c>
      <c r="BY37" s="607">
        <f t="shared" si="57"/>
        <v>0</v>
      </c>
      <c r="BZ37" s="607">
        <f t="shared" si="58"/>
        <v>0</v>
      </c>
      <c r="CA37" s="607">
        <f t="shared" si="59"/>
        <v>0</v>
      </c>
      <c r="CB37" s="607">
        <f t="shared" si="78"/>
        <v>0</v>
      </c>
      <c r="CC37" s="607">
        <f t="shared" si="60"/>
        <v>0</v>
      </c>
      <c r="CD37" s="607">
        <f t="shared" si="61"/>
        <v>0</v>
      </c>
      <c r="CE37" s="607">
        <f t="shared" si="62"/>
        <v>0</v>
      </c>
      <c r="CF37" s="607">
        <f t="shared" si="63"/>
        <v>0</v>
      </c>
      <c r="CG37" s="607">
        <f t="shared" si="64"/>
        <v>0</v>
      </c>
      <c r="CH37" s="607">
        <f t="shared" si="65"/>
        <v>7719650.1699999999</v>
      </c>
      <c r="CI37" s="609"/>
      <c r="CK37" s="610" t="str">
        <f t="shared" si="79"/>
        <v/>
      </c>
      <c r="CL37" s="611" t="str">
        <f>IF(CK37="","",COUNTIFS($CK$16:CK37,"Yes")+MAX(State!AD:AD))</f>
        <v/>
      </c>
      <c r="CM37" s="612" t="b">
        <f>IF(C37="", "", AND(INDEX('Summary Dynamic'!$D$8:$D$10, MATCH(H37, 'Summary Dynamic'!$C$8:$C$10, 0))="Include", INDEX('Summary Dynamic'!$D$12:$D$14, MATCH(I37, 'Summary Dynamic'!$C$12:$C$14, 0))="Include", INDEX('Summary Dynamic'!$D$16:$D$17, MATCH(J37, 'Summary Dynamic'!$C$16:$C$17, 0))="Include", INDEX('Summary Dynamic'!$D$19:$D$20, MATCH(K37, 'Summary Dynamic'!$C$19:$C$20, 0))="Include", INDEX('Summary Dynamic'!$D$25:$D$26, MATCH(L37, 'Summary Dynamic'!$C$25:$C$26, 0))="Include",'Summary Dynamic'!$D$23="Include"))</f>
        <v>1</v>
      </c>
      <c r="CN37" s="613">
        <f>IFERROR(IF(CM37=TRUE, COUNTIFS($CM$16:CM37, TRUE), ""), "")</f>
        <v>22</v>
      </c>
      <c r="CP37" s="614" t="str">
        <f t="shared" si="66"/>
        <v>Non-Rural Private</v>
      </c>
      <c r="CY37" s="615"/>
      <c r="CZ37" s="616"/>
    </row>
    <row r="38" spans="2:104" x14ac:dyDescent="0.25">
      <c r="B38" s="617">
        <f t="shared" si="67"/>
        <v>23</v>
      </c>
      <c r="C38" s="593" t="s">
        <v>533</v>
      </c>
      <c r="D38" s="594" t="s">
        <v>533</v>
      </c>
      <c r="E38" s="594" t="s">
        <v>534</v>
      </c>
      <c r="F38" s="407" t="s">
        <v>535</v>
      </c>
      <c r="G38" s="408" t="s">
        <v>314</v>
      </c>
      <c r="H38" s="408" t="s">
        <v>22</v>
      </c>
      <c r="I38" s="408" t="s">
        <v>26</v>
      </c>
      <c r="J38" s="408" t="s">
        <v>35</v>
      </c>
      <c r="K38" s="408" t="s">
        <v>35</v>
      </c>
      <c r="L38" s="408" t="s">
        <v>35</v>
      </c>
      <c r="M38" s="408" t="s">
        <v>37</v>
      </c>
      <c r="N38" s="595" t="str">
        <f t="shared" si="18"/>
        <v>No</v>
      </c>
      <c r="O38" s="596">
        <v>87141</v>
      </c>
      <c r="P38" s="596">
        <v>521276</v>
      </c>
      <c r="Q38" s="597">
        <v>0.2001236603600941</v>
      </c>
      <c r="R38" s="596">
        <f t="shared" si="68"/>
        <v>104319.66117786842</v>
      </c>
      <c r="S38" s="596">
        <f t="shared" si="69"/>
        <v>191460.66117786843</v>
      </c>
      <c r="T38" s="596">
        <f t="shared" si="19"/>
        <v>191460.66117786843</v>
      </c>
      <c r="U38" s="598">
        <f t="shared" si="70"/>
        <v>4.4792665538901398E-2</v>
      </c>
      <c r="V38" s="599">
        <f t="shared" si="80"/>
        <v>0</v>
      </c>
      <c r="W38" s="600">
        <v>121862295.38276188</v>
      </c>
      <c r="X38" s="600">
        <v>0</v>
      </c>
      <c r="Y38" s="600">
        <v>63031171.062984064</v>
      </c>
      <c r="Z38" s="600">
        <f t="shared" si="71"/>
        <v>0</v>
      </c>
      <c r="AA38" s="600">
        <f t="shared" si="72"/>
        <v>121862295.38276188</v>
      </c>
      <c r="AB38" s="601">
        <f t="shared" si="21"/>
        <v>0</v>
      </c>
      <c r="AC38" s="599">
        <v>0</v>
      </c>
      <c r="AD38" s="599">
        <f>MAX(IF(M38="Yes",'Assumption Inputs'!$C$40,'Assumption Inputs'!$C$41),AC38)</f>
        <v>8000000</v>
      </c>
      <c r="AE38" s="599">
        <f t="shared" si="81"/>
        <v>8000000</v>
      </c>
      <c r="AF38" s="599">
        <f t="shared" si="23"/>
        <v>0</v>
      </c>
      <c r="AG38" s="599">
        <f t="shared" si="82"/>
        <v>0</v>
      </c>
      <c r="AH38" s="599">
        <f t="shared" si="83"/>
        <v>8000000</v>
      </c>
      <c r="AI38" s="599">
        <v>433657776.29095745</v>
      </c>
      <c r="AJ38" s="599">
        <v>319795480.90819567</v>
      </c>
      <c r="AK38" s="602">
        <f t="shared" si="74"/>
        <v>0.73743744120855514</v>
      </c>
      <c r="AL38" s="603">
        <f t="shared" si="25"/>
        <v>0</v>
      </c>
      <c r="AM38" s="600">
        <f t="shared" si="75"/>
        <v>8000000</v>
      </c>
      <c r="AN38" s="600">
        <f t="shared" si="26"/>
        <v>8000000</v>
      </c>
      <c r="AO38" s="600">
        <f t="shared" si="27"/>
        <v>0</v>
      </c>
      <c r="AP38" s="600">
        <f t="shared" si="28"/>
        <v>113862295.38276188</v>
      </c>
      <c r="AQ38" s="600">
        <f t="shared" si="76"/>
        <v>0</v>
      </c>
      <c r="AR38" s="600">
        <f t="shared" si="77"/>
        <v>8000000</v>
      </c>
      <c r="AS38" s="604">
        <f t="shared" si="29"/>
        <v>0</v>
      </c>
      <c r="AT38" s="605">
        <f t="shared" si="30"/>
        <v>0</v>
      </c>
      <c r="AU38" s="600">
        <f t="shared" si="31"/>
        <v>8000000</v>
      </c>
      <c r="AV38" s="600">
        <f t="shared" si="32"/>
        <v>8000000</v>
      </c>
      <c r="AW38" s="600">
        <f t="shared" si="33"/>
        <v>0</v>
      </c>
      <c r="AX38" s="600">
        <f t="shared" si="34"/>
        <v>113862295.38276188</v>
      </c>
      <c r="AY38" s="600">
        <f t="shared" si="35"/>
        <v>2.2402966736578324E-10</v>
      </c>
      <c r="AZ38" s="600">
        <f t="shared" si="36"/>
        <v>8000000</v>
      </c>
      <c r="BA38" s="600">
        <f t="shared" si="37"/>
        <v>0</v>
      </c>
      <c r="BB38" s="600">
        <f t="shared" si="38"/>
        <v>0</v>
      </c>
      <c r="BC38" s="600">
        <f t="shared" si="39"/>
        <v>0</v>
      </c>
      <c r="BD38" s="600">
        <f t="shared" si="40"/>
        <v>0</v>
      </c>
      <c r="BE38" s="600">
        <f t="shared" si="41"/>
        <v>113862295.38276188</v>
      </c>
      <c r="BF38" s="600">
        <f t="shared" si="42"/>
        <v>8000000</v>
      </c>
      <c r="BG38" s="600">
        <v>0</v>
      </c>
      <c r="BH38" s="600">
        <v>0</v>
      </c>
      <c r="BI38" s="600">
        <f t="shared" si="43"/>
        <v>0</v>
      </c>
      <c r="BJ38" s="600">
        <f t="shared" si="44"/>
        <v>8000000</v>
      </c>
      <c r="BK38" s="600">
        <f t="shared" si="45"/>
        <v>2810399.9999999995</v>
      </c>
      <c r="BL38" s="600">
        <v>8000000</v>
      </c>
      <c r="BM38" s="600">
        <f t="shared" si="46"/>
        <v>0</v>
      </c>
      <c r="BN38" s="600">
        <f t="shared" si="47"/>
        <v>0</v>
      </c>
      <c r="BO38" s="600">
        <f t="shared" si="48"/>
        <v>0</v>
      </c>
      <c r="BP38" s="600">
        <f t="shared" si="49"/>
        <v>2810399.9999999995</v>
      </c>
      <c r="BQ38" s="600">
        <f t="shared" si="50"/>
        <v>0</v>
      </c>
      <c r="BR38" s="600">
        <f t="shared" si="51"/>
        <v>0</v>
      </c>
      <c r="BT38" s="606">
        <f t="shared" si="52"/>
        <v>1</v>
      </c>
      <c r="BU38" s="607">
        <f t="shared" si="53"/>
        <v>0</v>
      </c>
      <c r="BV38" s="606">
        <f t="shared" si="54"/>
        <v>1</v>
      </c>
      <c r="BW38" s="607">
        <f t="shared" si="55"/>
        <v>0</v>
      </c>
      <c r="BX38" s="607">
        <f t="shared" si="56"/>
        <v>0</v>
      </c>
      <c r="BY38" s="607">
        <f t="shared" si="57"/>
        <v>0</v>
      </c>
      <c r="BZ38" s="607">
        <f t="shared" si="58"/>
        <v>0</v>
      </c>
      <c r="CA38" s="607">
        <f t="shared" si="59"/>
        <v>0</v>
      </c>
      <c r="CB38" s="607">
        <f t="shared" si="78"/>
        <v>0</v>
      </c>
      <c r="CC38" s="607">
        <f t="shared" si="60"/>
        <v>0</v>
      </c>
      <c r="CD38" s="607">
        <f t="shared" si="61"/>
        <v>0</v>
      </c>
      <c r="CE38" s="607">
        <f t="shared" si="62"/>
        <v>0</v>
      </c>
      <c r="CF38" s="607">
        <f t="shared" si="63"/>
        <v>0</v>
      </c>
      <c r="CG38" s="607">
        <f t="shared" si="64"/>
        <v>0</v>
      </c>
      <c r="CH38" s="607">
        <f t="shared" si="65"/>
        <v>8000000</v>
      </c>
      <c r="CI38" s="609"/>
      <c r="CK38" s="610" t="str">
        <f t="shared" si="79"/>
        <v/>
      </c>
      <c r="CL38" s="611" t="str">
        <f>IF(CK38="","",COUNTIFS($CK$16:CK38,"Yes")+MAX(State!AD:AD))</f>
        <v/>
      </c>
      <c r="CM38" s="612" t="b">
        <f>IF(C38="", "", AND(INDEX('Summary Dynamic'!$D$8:$D$10, MATCH(H38, 'Summary Dynamic'!$C$8:$C$10, 0))="Include", INDEX('Summary Dynamic'!$D$12:$D$14, MATCH(I38, 'Summary Dynamic'!$C$12:$C$14, 0))="Include", INDEX('Summary Dynamic'!$D$16:$D$17, MATCH(J38, 'Summary Dynamic'!$C$16:$C$17, 0))="Include", INDEX('Summary Dynamic'!$D$19:$D$20, MATCH(K38, 'Summary Dynamic'!$C$19:$C$20, 0))="Include", INDEX('Summary Dynamic'!$D$25:$D$26, MATCH(L38, 'Summary Dynamic'!$C$25:$C$26, 0))="Include",'Summary Dynamic'!$D$23="Include"))</f>
        <v>1</v>
      </c>
      <c r="CN38" s="613">
        <f>IFERROR(IF(CM38=TRUE, COUNTIFS($CM$16:CM38, TRUE), ""), "")</f>
        <v>23</v>
      </c>
      <c r="CP38" s="614" t="str">
        <f t="shared" si="66"/>
        <v>Non-Rural Private</v>
      </c>
      <c r="CY38" s="615"/>
      <c r="CZ38" s="616"/>
    </row>
    <row r="39" spans="2:104" x14ac:dyDescent="0.25">
      <c r="B39" s="617">
        <f t="shared" si="67"/>
        <v>24</v>
      </c>
      <c r="C39" s="593" t="s">
        <v>536</v>
      </c>
      <c r="D39" s="594" t="s">
        <v>536</v>
      </c>
      <c r="E39" s="594" t="s">
        <v>537</v>
      </c>
      <c r="F39" s="407" t="s">
        <v>538</v>
      </c>
      <c r="G39" s="408" t="s">
        <v>284</v>
      </c>
      <c r="H39" s="408" t="s">
        <v>22</v>
      </c>
      <c r="I39" s="408" t="s">
        <v>26</v>
      </c>
      <c r="J39" s="408" t="s">
        <v>35</v>
      </c>
      <c r="K39" s="408" t="s">
        <v>35</v>
      </c>
      <c r="L39" s="408" t="s">
        <v>35</v>
      </c>
      <c r="M39" s="408" t="s">
        <v>35</v>
      </c>
      <c r="N39" s="595" t="str">
        <f t="shared" si="18"/>
        <v>No</v>
      </c>
      <c r="O39" s="596">
        <v>28898</v>
      </c>
      <c r="P39" s="596">
        <v>165416</v>
      </c>
      <c r="Q39" s="597">
        <v>0.13807519718422367</v>
      </c>
      <c r="R39" s="596">
        <f t="shared" si="68"/>
        <v>22839.846817425543</v>
      </c>
      <c r="S39" s="596">
        <f t="shared" si="69"/>
        <v>51737.846817425539</v>
      </c>
      <c r="T39" s="596">
        <f t="shared" si="19"/>
        <v>51737.846817425539</v>
      </c>
      <c r="U39" s="598">
        <f t="shared" si="70"/>
        <v>1.2104189204919244E-2</v>
      </c>
      <c r="V39" s="599">
        <f t="shared" si="80"/>
        <v>0</v>
      </c>
      <c r="W39" s="600">
        <v>20602303.981931299</v>
      </c>
      <c r="X39" s="600">
        <v>0</v>
      </c>
      <c r="Y39" s="600">
        <v>17209313.627631899</v>
      </c>
      <c r="Z39" s="600">
        <f t="shared" si="71"/>
        <v>0</v>
      </c>
      <c r="AA39" s="600">
        <f t="shared" si="72"/>
        <v>20602303.981931299</v>
      </c>
      <c r="AB39" s="601">
        <f t="shared" si="21"/>
        <v>0</v>
      </c>
      <c r="AC39" s="599">
        <v>0</v>
      </c>
      <c r="AD39" s="599">
        <f>MAX(IF(M39="Yes",'Assumption Inputs'!$C$40,'Assumption Inputs'!$C$41),AC39)</f>
        <v>6000000</v>
      </c>
      <c r="AE39" s="599">
        <f t="shared" si="81"/>
        <v>6000000</v>
      </c>
      <c r="AF39" s="599">
        <f t="shared" si="23"/>
        <v>0</v>
      </c>
      <c r="AG39" s="599">
        <f t="shared" si="82"/>
        <v>0</v>
      </c>
      <c r="AH39" s="599">
        <f t="shared" si="83"/>
        <v>6000000</v>
      </c>
      <c r="AI39" s="599">
        <v>108791951.63892247</v>
      </c>
      <c r="AJ39" s="599">
        <v>94189647.656991184</v>
      </c>
      <c r="AK39" s="602">
        <f t="shared" si="74"/>
        <v>0.86577771827831584</v>
      </c>
      <c r="AL39" s="603">
        <f t="shared" si="25"/>
        <v>0</v>
      </c>
      <c r="AM39" s="600">
        <f t="shared" si="75"/>
        <v>6000000</v>
      </c>
      <c r="AN39" s="600">
        <f t="shared" si="26"/>
        <v>6000000</v>
      </c>
      <c r="AO39" s="600">
        <f t="shared" si="27"/>
        <v>0</v>
      </c>
      <c r="AP39" s="600">
        <f t="shared" si="28"/>
        <v>14602303.981931299</v>
      </c>
      <c r="AQ39" s="600">
        <f t="shared" si="76"/>
        <v>0</v>
      </c>
      <c r="AR39" s="600">
        <f t="shared" si="77"/>
        <v>6000000</v>
      </c>
      <c r="AS39" s="604">
        <f t="shared" si="29"/>
        <v>0</v>
      </c>
      <c r="AT39" s="605">
        <f t="shared" si="30"/>
        <v>0</v>
      </c>
      <c r="AU39" s="600">
        <f t="shared" si="31"/>
        <v>6000000</v>
      </c>
      <c r="AV39" s="600">
        <f t="shared" si="32"/>
        <v>6000000</v>
      </c>
      <c r="AW39" s="600">
        <f t="shared" si="33"/>
        <v>0</v>
      </c>
      <c r="AX39" s="600">
        <f t="shared" si="34"/>
        <v>14602303.981931299</v>
      </c>
      <c r="AY39" s="600">
        <f t="shared" si="35"/>
        <v>2.8730751412037541E-11</v>
      </c>
      <c r="AZ39" s="600">
        <f t="shared" si="36"/>
        <v>6000000</v>
      </c>
      <c r="BA39" s="600">
        <f t="shared" si="37"/>
        <v>0</v>
      </c>
      <c r="BB39" s="600">
        <f t="shared" si="38"/>
        <v>0</v>
      </c>
      <c r="BC39" s="600">
        <f t="shared" si="39"/>
        <v>0</v>
      </c>
      <c r="BD39" s="600">
        <f t="shared" si="40"/>
        <v>0</v>
      </c>
      <c r="BE39" s="600">
        <f t="shared" si="41"/>
        <v>14602303.981931299</v>
      </c>
      <c r="BF39" s="600">
        <f t="shared" si="42"/>
        <v>6000000</v>
      </c>
      <c r="BG39" s="600">
        <v>0</v>
      </c>
      <c r="BH39" s="600">
        <v>0</v>
      </c>
      <c r="BI39" s="600">
        <f t="shared" si="43"/>
        <v>0</v>
      </c>
      <c r="BJ39" s="600">
        <f t="shared" si="44"/>
        <v>6000000</v>
      </c>
      <c r="BK39" s="600">
        <f t="shared" si="45"/>
        <v>2107799.9999999995</v>
      </c>
      <c r="BL39" s="600">
        <v>6000000</v>
      </c>
      <c r="BM39" s="600">
        <f t="shared" si="46"/>
        <v>0</v>
      </c>
      <c r="BN39" s="600">
        <f t="shared" si="47"/>
        <v>0</v>
      </c>
      <c r="BO39" s="600">
        <f t="shared" si="48"/>
        <v>0</v>
      </c>
      <c r="BP39" s="600">
        <f t="shared" si="49"/>
        <v>2107799.9999999995</v>
      </c>
      <c r="BQ39" s="600">
        <f t="shared" si="50"/>
        <v>0</v>
      </c>
      <c r="BR39" s="600">
        <f t="shared" si="51"/>
        <v>0</v>
      </c>
      <c r="BT39" s="606">
        <f t="shared" si="52"/>
        <v>1</v>
      </c>
      <c r="BU39" s="607">
        <f t="shared" si="53"/>
        <v>0</v>
      </c>
      <c r="BV39" s="606">
        <f t="shared" si="54"/>
        <v>1</v>
      </c>
      <c r="BW39" s="607">
        <f t="shared" si="55"/>
        <v>0</v>
      </c>
      <c r="BX39" s="607">
        <f t="shared" si="56"/>
        <v>0</v>
      </c>
      <c r="BY39" s="607">
        <f t="shared" si="57"/>
        <v>0</v>
      </c>
      <c r="BZ39" s="607">
        <f t="shared" si="58"/>
        <v>0</v>
      </c>
      <c r="CA39" s="607">
        <f t="shared" si="59"/>
        <v>0</v>
      </c>
      <c r="CB39" s="607">
        <f t="shared" si="78"/>
        <v>0</v>
      </c>
      <c r="CC39" s="607">
        <f t="shared" si="60"/>
        <v>0</v>
      </c>
      <c r="CD39" s="607">
        <f t="shared" si="61"/>
        <v>0</v>
      </c>
      <c r="CE39" s="607">
        <f t="shared" si="62"/>
        <v>0</v>
      </c>
      <c r="CF39" s="607">
        <f t="shared" si="63"/>
        <v>0</v>
      </c>
      <c r="CG39" s="607">
        <f t="shared" si="64"/>
        <v>0</v>
      </c>
      <c r="CH39" s="607">
        <f t="shared" si="65"/>
        <v>6000000</v>
      </c>
      <c r="CI39" s="609"/>
      <c r="CK39" s="610" t="str">
        <f t="shared" si="79"/>
        <v/>
      </c>
      <c r="CL39" s="611" t="str">
        <f>IF(CK39="","",COUNTIFS($CK$16:CK39,"Yes")+MAX(State!AD:AD))</f>
        <v/>
      </c>
      <c r="CM39" s="612" t="b">
        <f>IF(C39="", "", AND(INDEX('Summary Dynamic'!$D$8:$D$10, MATCH(H39, 'Summary Dynamic'!$C$8:$C$10, 0))="Include", INDEX('Summary Dynamic'!$D$12:$D$14, MATCH(I39, 'Summary Dynamic'!$C$12:$C$14, 0))="Include", INDEX('Summary Dynamic'!$D$16:$D$17, MATCH(J39, 'Summary Dynamic'!$C$16:$C$17, 0))="Include", INDEX('Summary Dynamic'!$D$19:$D$20, MATCH(K39, 'Summary Dynamic'!$C$19:$C$20, 0))="Include", INDEX('Summary Dynamic'!$D$25:$D$26, MATCH(L39, 'Summary Dynamic'!$C$25:$C$26, 0))="Include",'Summary Dynamic'!$D$23="Include"))</f>
        <v>1</v>
      </c>
      <c r="CN39" s="613">
        <f>IFERROR(IF(CM39=TRUE, COUNTIFS($CM$16:CM39, TRUE), ""), "")</f>
        <v>24</v>
      </c>
      <c r="CP39" s="614" t="str">
        <f t="shared" si="66"/>
        <v>Non-Rural Private</v>
      </c>
      <c r="CY39" s="615"/>
      <c r="CZ39" s="616"/>
    </row>
    <row r="40" spans="2:104" x14ac:dyDescent="0.25">
      <c r="B40" s="617">
        <f t="shared" si="67"/>
        <v>25</v>
      </c>
      <c r="C40" s="593" t="s">
        <v>539</v>
      </c>
      <c r="D40" s="594" t="s">
        <v>539</v>
      </c>
      <c r="E40" s="594" t="s">
        <v>540</v>
      </c>
      <c r="F40" s="407" t="s">
        <v>541</v>
      </c>
      <c r="G40" s="408" t="s">
        <v>542</v>
      </c>
      <c r="H40" s="408" t="s">
        <v>22</v>
      </c>
      <c r="I40" s="408" t="s">
        <v>26</v>
      </c>
      <c r="J40" s="408" t="s">
        <v>35</v>
      </c>
      <c r="K40" s="408" t="s">
        <v>35</v>
      </c>
      <c r="L40" s="408" t="s">
        <v>35</v>
      </c>
      <c r="M40" s="408" t="s">
        <v>35</v>
      </c>
      <c r="N40" s="595" t="str">
        <f t="shared" si="18"/>
        <v>No</v>
      </c>
      <c r="O40" s="596">
        <v>11082</v>
      </c>
      <c r="P40" s="596">
        <v>39134</v>
      </c>
      <c r="Q40" s="597">
        <v>0.23423926326638528</v>
      </c>
      <c r="R40" s="596">
        <f t="shared" si="68"/>
        <v>9166.7193286667207</v>
      </c>
      <c r="S40" s="596">
        <f t="shared" si="69"/>
        <v>20248.719328666721</v>
      </c>
      <c r="T40" s="596">
        <f t="shared" si="19"/>
        <v>20248.719328666721</v>
      </c>
      <c r="U40" s="598">
        <f t="shared" si="70"/>
        <v>4.7372348288166203E-3</v>
      </c>
      <c r="V40" s="599">
        <f t="shared" si="80"/>
        <v>0</v>
      </c>
      <c r="W40" s="600">
        <v>12925056.915896378</v>
      </c>
      <c r="X40" s="600">
        <v>0</v>
      </c>
      <c r="Y40" s="600">
        <v>6286915.2211181913</v>
      </c>
      <c r="Z40" s="600">
        <f t="shared" si="71"/>
        <v>0</v>
      </c>
      <c r="AA40" s="600">
        <f t="shared" si="72"/>
        <v>12925056.915896378</v>
      </c>
      <c r="AB40" s="601">
        <f t="shared" si="21"/>
        <v>0</v>
      </c>
      <c r="AC40" s="599">
        <v>0</v>
      </c>
      <c r="AD40" s="599">
        <f>MAX(IF(M40="Yes",'Assumption Inputs'!$C$40,'Assumption Inputs'!$C$41),AC40)</f>
        <v>6000000</v>
      </c>
      <c r="AE40" s="599">
        <f t="shared" si="81"/>
        <v>6000000</v>
      </c>
      <c r="AF40" s="599">
        <f t="shared" si="23"/>
        <v>0</v>
      </c>
      <c r="AG40" s="599">
        <f t="shared" si="82"/>
        <v>0</v>
      </c>
      <c r="AH40" s="599">
        <f t="shared" si="83"/>
        <v>6000000</v>
      </c>
      <c r="AI40" s="599">
        <v>54097418.070010506</v>
      </c>
      <c r="AJ40" s="599">
        <v>47172361.154114127</v>
      </c>
      <c r="AK40" s="602">
        <f t="shared" si="74"/>
        <v>0.87198914175655717</v>
      </c>
      <c r="AL40" s="603">
        <f t="shared" si="25"/>
        <v>0</v>
      </c>
      <c r="AM40" s="600">
        <f t="shared" si="75"/>
        <v>6000000</v>
      </c>
      <c r="AN40" s="600">
        <f t="shared" si="26"/>
        <v>6000000</v>
      </c>
      <c r="AO40" s="600">
        <f t="shared" si="27"/>
        <v>0</v>
      </c>
      <c r="AP40" s="600">
        <f t="shared" si="28"/>
        <v>6925056.9158963785</v>
      </c>
      <c r="AQ40" s="600">
        <f t="shared" si="76"/>
        <v>0</v>
      </c>
      <c r="AR40" s="600">
        <f t="shared" si="77"/>
        <v>6000000</v>
      </c>
      <c r="AS40" s="604">
        <f t="shared" si="29"/>
        <v>0</v>
      </c>
      <c r="AT40" s="605">
        <f t="shared" si="30"/>
        <v>0</v>
      </c>
      <c r="AU40" s="600">
        <f t="shared" si="31"/>
        <v>6000000</v>
      </c>
      <c r="AV40" s="600">
        <f t="shared" si="32"/>
        <v>6000000</v>
      </c>
      <c r="AW40" s="600">
        <f t="shared" si="33"/>
        <v>0</v>
      </c>
      <c r="AX40" s="600">
        <f t="shared" si="34"/>
        <v>6925056.9158963785</v>
      </c>
      <c r="AY40" s="600">
        <f t="shared" si="35"/>
        <v>1.3625390144666438E-11</v>
      </c>
      <c r="AZ40" s="600">
        <f t="shared" si="36"/>
        <v>6000000</v>
      </c>
      <c r="BA40" s="600">
        <f t="shared" si="37"/>
        <v>0</v>
      </c>
      <c r="BB40" s="600">
        <f t="shared" si="38"/>
        <v>0</v>
      </c>
      <c r="BC40" s="600">
        <f t="shared" si="39"/>
        <v>0</v>
      </c>
      <c r="BD40" s="600">
        <f t="shared" si="40"/>
        <v>0</v>
      </c>
      <c r="BE40" s="600">
        <f t="shared" si="41"/>
        <v>6925056.9158963785</v>
      </c>
      <c r="BF40" s="600">
        <f t="shared" si="42"/>
        <v>6000000</v>
      </c>
      <c r="BG40" s="600">
        <v>0</v>
      </c>
      <c r="BH40" s="600">
        <v>0</v>
      </c>
      <c r="BI40" s="600">
        <f t="shared" si="43"/>
        <v>0</v>
      </c>
      <c r="BJ40" s="600">
        <f t="shared" si="44"/>
        <v>6000000</v>
      </c>
      <c r="BK40" s="600">
        <f t="shared" si="45"/>
        <v>2107799.9999999995</v>
      </c>
      <c r="BL40" s="600">
        <v>6000000</v>
      </c>
      <c r="BM40" s="600">
        <f t="shared" si="46"/>
        <v>0</v>
      </c>
      <c r="BN40" s="600">
        <f t="shared" si="47"/>
        <v>0</v>
      </c>
      <c r="BO40" s="600">
        <f t="shared" si="48"/>
        <v>0</v>
      </c>
      <c r="BP40" s="600">
        <f t="shared" si="49"/>
        <v>2107799.9999999995</v>
      </c>
      <c r="BQ40" s="600">
        <f t="shared" si="50"/>
        <v>0</v>
      </c>
      <c r="BR40" s="600">
        <f t="shared" si="51"/>
        <v>0</v>
      </c>
      <c r="BT40" s="606">
        <f t="shared" si="52"/>
        <v>1</v>
      </c>
      <c r="BU40" s="607">
        <f t="shared" si="53"/>
        <v>0</v>
      </c>
      <c r="BV40" s="606">
        <f t="shared" si="54"/>
        <v>1</v>
      </c>
      <c r="BW40" s="607">
        <f t="shared" si="55"/>
        <v>0</v>
      </c>
      <c r="BX40" s="607">
        <f t="shared" si="56"/>
        <v>0</v>
      </c>
      <c r="BY40" s="607">
        <f t="shared" si="57"/>
        <v>0</v>
      </c>
      <c r="BZ40" s="607">
        <f t="shared" si="58"/>
        <v>0</v>
      </c>
      <c r="CA40" s="607">
        <f t="shared" si="59"/>
        <v>0</v>
      </c>
      <c r="CB40" s="607">
        <f t="shared" si="78"/>
        <v>0</v>
      </c>
      <c r="CC40" s="607">
        <f t="shared" si="60"/>
        <v>0</v>
      </c>
      <c r="CD40" s="607">
        <f t="shared" si="61"/>
        <v>0</v>
      </c>
      <c r="CE40" s="607">
        <f t="shared" si="62"/>
        <v>0</v>
      </c>
      <c r="CF40" s="607">
        <f t="shared" si="63"/>
        <v>0</v>
      </c>
      <c r="CG40" s="607">
        <f t="shared" si="64"/>
        <v>0</v>
      </c>
      <c r="CH40" s="607">
        <f t="shared" si="65"/>
        <v>6000000</v>
      </c>
      <c r="CI40" s="609"/>
      <c r="CK40" s="610" t="str">
        <f t="shared" si="79"/>
        <v/>
      </c>
      <c r="CL40" s="611" t="str">
        <f>IF(CK40="","",COUNTIFS($CK$16:CK40,"Yes")+MAX(State!AD:AD))</f>
        <v/>
      </c>
      <c r="CM40" s="612" t="b">
        <f>IF(C40="", "", AND(INDEX('Summary Dynamic'!$D$8:$D$10, MATCH(H40, 'Summary Dynamic'!$C$8:$C$10, 0))="Include", INDEX('Summary Dynamic'!$D$12:$D$14, MATCH(I40, 'Summary Dynamic'!$C$12:$C$14, 0))="Include", INDEX('Summary Dynamic'!$D$16:$D$17, MATCH(J40, 'Summary Dynamic'!$C$16:$C$17, 0))="Include", INDEX('Summary Dynamic'!$D$19:$D$20, MATCH(K40, 'Summary Dynamic'!$C$19:$C$20, 0))="Include", INDEX('Summary Dynamic'!$D$25:$D$26, MATCH(L40, 'Summary Dynamic'!$C$25:$C$26, 0))="Include",'Summary Dynamic'!$D$23="Include"))</f>
        <v>1</v>
      </c>
      <c r="CN40" s="613">
        <f>IFERROR(IF(CM40=TRUE, COUNTIFS($CM$16:CM40, TRUE), ""), "")</f>
        <v>25</v>
      </c>
      <c r="CP40" s="614" t="str">
        <f t="shared" si="66"/>
        <v>Non-Rural Private</v>
      </c>
      <c r="CY40" s="615"/>
      <c r="CZ40" s="616"/>
    </row>
    <row r="41" spans="2:104" x14ac:dyDescent="0.25">
      <c r="B41" s="617">
        <f t="shared" si="67"/>
        <v>26</v>
      </c>
      <c r="C41" s="593" t="s">
        <v>543</v>
      </c>
      <c r="D41" s="594" t="s">
        <v>543</v>
      </c>
      <c r="E41" s="594" t="s">
        <v>544</v>
      </c>
      <c r="F41" s="407" t="s">
        <v>545</v>
      </c>
      <c r="G41" s="408" t="s">
        <v>282</v>
      </c>
      <c r="H41" s="408" t="s">
        <v>22</v>
      </c>
      <c r="I41" s="408" t="s">
        <v>26</v>
      </c>
      <c r="J41" s="408" t="s">
        <v>35</v>
      </c>
      <c r="K41" s="408" t="s">
        <v>35</v>
      </c>
      <c r="L41" s="408" t="s">
        <v>35</v>
      </c>
      <c r="M41" s="408" t="s">
        <v>37</v>
      </c>
      <c r="N41" s="595" t="str">
        <f t="shared" si="18"/>
        <v>No</v>
      </c>
      <c r="O41" s="596">
        <v>15658</v>
      </c>
      <c r="P41" s="596">
        <v>61618</v>
      </c>
      <c r="Q41" s="597">
        <v>0.27539952864680861</v>
      </c>
      <c r="R41" s="596">
        <f t="shared" si="68"/>
        <v>16969.568156159054</v>
      </c>
      <c r="S41" s="596">
        <f t="shared" si="69"/>
        <v>32627.568156159054</v>
      </c>
      <c r="T41" s="596">
        <f t="shared" si="19"/>
        <v>32627.568156159054</v>
      </c>
      <c r="U41" s="598">
        <f t="shared" si="70"/>
        <v>7.6332952094468115E-3</v>
      </c>
      <c r="V41" s="599">
        <f t="shared" si="80"/>
        <v>0</v>
      </c>
      <c r="W41" s="600">
        <v>17918282.321363553</v>
      </c>
      <c r="X41" s="600">
        <v>0</v>
      </c>
      <c r="Y41" s="600">
        <v>9697696.1083205938</v>
      </c>
      <c r="Z41" s="600">
        <f t="shared" si="71"/>
        <v>0</v>
      </c>
      <c r="AA41" s="600">
        <f t="shared" si="72"/>
        <v>17918282.321363553</v>
      </c>
      <c r="AB41" s="601">
        <f t="shared" si="21"/>
        <v>0</v>
      </c>
      <c r="AC41" s="599">
        <v>0</v>
      </c>
      <c r="AD41" s="599">
        <f>MAX(IF(M41="Yes",'Assumption Inputs'!$C$40,'Assumption Inputs'!$C$41),AC41)</f>
        <v>8000000</v>
      </c>
      <c r="AE41" s="599">
        <f t="shared" si="81"/>
        <v>8000000</v>
      </c>
      <c r="AF41" s="599">
        <f t="shared" si="23"/>
        <v>0</v>
      </c>
      <c r="AG41" s="599">
        <f t="shared" si="82"/>
        <v>0</v>
      </c>
      <c r="AH41" s="599">
        <f t="shared" si="83"/>
        <v>8000000</v>
      </c>
      <c r="AI41" s="599">
        <v>78498030.861757398</v>
      </c>
      <c r="AJ41" s="599">
        <v>68579748.540393844</v>
      </c>
      <c r="AK41" s="602">
        <f t="shared" si="74"/>
        <v>0.87364928505237782</v>
      </c>
      <c r="AL41" s="603">
        <f t="shared" si="25"/>
        <v>0</v>
      </c>
      <c r="AM41" s="600">
        <f t="shared" si="75"/>
        <v>8000000</v>
      </c>
      <c r="AN41" s="600">
        <f t="shared" si="26"/>
        <v>8000000</v>
      </c>
      <c r="AO41" s="600">
        <f t="shared" si="27"/>
        <v>0</v>
      </c>
      <c r="AP41" s="600">
        <f t="shared" si="28"/>
        <v>9918282.3213635534</v>
      </c>
      <c r="AQ41" s="600">
        <f t="shared" si="76"/>
        <v>0</v>
      </c>
      <c r="AR41" s="600">
        <f t="shared" si="77"/>
        <v>8000000</v>
      </c>
      <c r="AS41" s="604">
        <f t="shared" si="29"/>
        <v>0</v>
      </c>
      <c r="AT41" s="605">
        <f t="shared" si="30"/>
        <v>0</v>
      </c>
      <c r="AU41" s="600">
        <f t="shared" si="31"/>
        <v>8000000</v>
      </c>
      <c r="AV41" s="600">
        <f t="shared" si="32"/>
        <v>8000000</v>
      </c>
      <c r="AW41" s="600">
        <f t="shared" si="33"/>
        <v>0</v>
      </c>
      <c r="AX41" s="600">
        <f t="shared" si="34"/>
        <v>9918282.3213635534</v>
      </c>
      <c r="AY41" s="600">
        <f t="shared" si="35"/>
        <v>1.9514708374932359E-11</v>
      </c>
      <c r="AZ41" s="600">
        <f t="shared" si="36"/>
        <v>8000000</v>
      </c>
      <c r="BA41" s="600">
        <f t="shared" si="37"/>
        <v>0</v>
      </c>
      <c r="BB41" s="600">
        <f t="shared" si="38"/>
        <v>0</v>
      </c>
      <c r="BC41" s="600">
        <f t="shared" si="39"/>
        <v>0</v>
      </c>
      <c r="BD41" s="600">
        <f t="shared" si="40"/>
        <v>0</v>
      </c>
      <c r="BE41" s="600">
        <f t="shared" si="41"/>
        <v>9918282.3213635534</v>
      </c>
      <c r="BF41" s="600">
        <f t="shared" si="42"/>
        <v>8000000</v>
      </c>
      <c r="BG41" s="600">
        <v>0</v>
      </c>
      <c r="BH41" s="600">
        <v>0</v>
      </c>
      <c r="BI41" s="600">
        <f t="shared" si="43"/>
        <v>0</v>
      </c>
      <c r="BJ41" s="600">
        <f t="shared" si="44"/>
        <v>8000000</v>
      </c>
      <c r="BK41" s="600">
        <f t="shared" si="45"/>
        <v>2810399.9999999995</v>
      </c>
      <c r="BL41" s="600">
        <v>8000000</v>
      </c>
      <c r="BM41" s="600">
        <f t="shared" si="46"/>
        <v>0</v>
      </c>
      <c r="BN41" s="600">
        <f t="shared" si="47"/>
        <v>0</v>
      </c>
      <c r="BO41" s="600">
        <f t="shared" si="48"/>
        <v>0</v>
      </c>
      <c r="BP41" s="600">
        <f t="shared" si="49"/>
        <v>2810399.9999999995</v>
      </c>
      <c r="BQ41" s="600">
        <f t="shared" si="50"/>
        <v>0</v>
      </c>
      <c r="BR41" s="600">
        <f t="shared" si="51"/>
        <v>0</v>
      </c>
      <c r="BT41" s="606">
        <f t="shared" si="52"/>
        <v>1</v>
      </c>
      <c r="BU41" s="607">
        <f t="shared" si="53"/>
        <v>0</v>
      </c>
      <c r="BV41" s="606">
        <f t="shared" si="54"/>
        <v>1</v>
      </c>
      <c r="BW41" s="607">
        <f t="shared" si="55"/>
        <v>0</v>
      </c>
      <c r="BX41" s="607">
        <f t="shared" si="56"/>
        <v>0</v>
      </c>
      <c r="BY41" s="607">
        <f t="shared" si="57"/>
        <v>0</v>
      </c>
      <c r="BZ41" s="607">
        <f t="shared" si="58"/>
        <v>0</v>
      </c>
      <c r="CA41" s="607">
        <f t="shared" si="59"/>
        <v>0</v>
      </c>
      <c r="CB41" s="607">
        <f t="shared" si="78"/>
        <v>0</v>
      </c>
      <c r="CC41" s="607">
        <f t="shared" si="60"/>
        <v>0</v>
      </c>
      <c r="CD41" s="607">
        <f t="shared" si="61"/>
        <v>0</v>
      </c>
      <c r="CE41" s="607">
        <f t="shared" si="62"/>
        <v>0</v>
      </c>
      <c r="CF41" s="607">
        <f t="shared" si="63"/>
        <v>0</v>
      </c>
      <c r="CG41" s="607">
        <f t="shared" si="64"/>
        <v>0</v>
      </c>
      <c r="CH41" s="607">
        <f t="shared" si="65"/>
        <v>8000000</v>
      </c>
      <c r="CI41" s="609"/>
      <c r="CK41" s="610" t="str">
        <f t="shared" si="79"/>
        <v/>
      </c>
      <c r="CL41" s="611" t="str">
        <f>IF(CK41="","",COUNTIFS($CK$16:CK41,"Yes")+MAX(State!AD:AD))</f>
        <v/>
      </c>
      <c r="CM41" s="612" t="b">
        <f>IF(C41="", "", AND(INDEX('Summary Dynamic'!$D$8:$D$10, MATCH(H41, 'Summary Dynamic'!$C$8:$C$10, 0))="Include", INDEX('Summary Dynamic'!$D$12:$D$14, MATCH(I41, 'Summary Dynamic'!$C$12:$C$14, 0))="Include", INDEX('Summary Dynamic'!$D$16:$D$17, MATCH(J41, 'Summary Dynamic'!$C$16:$C$17, 0))="Include", INDEX('Summary Dynamic'!$D$19:$D$20, MATCH(K41, 'Summary Dynamic'!$C$19:$C$20, 0))="Include", INDEX('Summary Dynamic'!$D$25:$D$26, MATCH(L41, 'Summary Dynamic'!$C$25:$C$26, 0))="Include",'Summary Dynamic'!$D$23="Include"))</f>
        <v>1</v>
      </c>
      <c r="CN41" s="613">
        <f>IFERROR(IF(CM41=TRUE, COUNTIFS($CM$16:CM41, TRUE), ""), "")</f>
        <v>26</v>
      </c>
      <c r="CP41" s="614" t="str">
        <f t="shared" si="66"/>
        <v>Non-Rural Private</v>
      </c>
      <c r="CY41" s="615"/>
      <c r="CZ41" s="616"/>
    </row>
    <row r="42" spans="2:104" x14ac:dyDescent="0.25">
      <c r="B42" s="617">
        <f t="shared" si="67"/>
        <v>27</v>
      </c>
      <c r="C42" s="593" t="s">
        <v>546</v>
      </c>
      <c r="D42" s="594" t="s">
        <v>546</v>
      </c>
      <c r="E42" s="594" t="s">
        <v>547</v>
      </c>
      <c r="F42" s="407" t="s">
        <v>548</v>
      </c>
      <c r="G42" s="408" t="s">
        <v>284</v>
      </c>
      <c r="H42" s="408" t="s">
        <v>22</v>
      </c>
      <c r="I42" s="408" t="s">
        <v>26</v>
      </c>
      <c r="J42" s="408" t="s">
        <v>35</v>
      </c>
      <c r="K42" s="408" t="s">
        <v>35</v>
      </c>
      <c r="L42" s="408" t="s">
        <v>35</v>
      </c>
      <c r="M42" s="408" t="s">
        <v>35</v>
      </c>
      <c r="N42" s="595" t="str">
        <f t="shared" si="18"/>
        <v>No</v>
      </c>
      <c r="O42" s="596">
        <v>22371</v>
      </c>
      <c r="P42" s="596">
        <v>128976</v>
      </c>
      <c r="Q42" s="597">
        <v>0.17475309901438951</v>
      </c>
      <c r="R42" s="596">
        <f t="shared" si="68"/>
        <v>22538.955698479902</v>
      </c>
      <c r="S42" s="596">
        <f t="shared" si="69"/>
        <v>44909.955698479898</v>
      </c>
      <c r="T42" s="596">
        <f t="shared" si="19"/>
        <v>44909.955698479898</v>
      </c>
      <c r="U42" s="598">
        <f t="shared" si="70"/>
        <v>1.0506788248788418E-2</v>
      </c>
      <c r="V42" s="599">
        <f t="shared" si="80"/>
        <v>0</v>
      </c>
      <c r="W42" s="600">
        <v>11242351.803173883</v>
      </c>
      <c r="X42" s="600">
        <v>0</v>
      </c>
      <c r="Y42" s="600">
        <v>19335872.81394013</v>
      </c>
      <c r="Z42" s="600">
        <f t="shared" si="71"/>
        <v>0</v>
      </c>
      <c r="AA42" s="600">
        <f t="shared" si="72"/>
        <v>11242351.803173883</v>
      </c>
      <c r="AB42" s="601">
        <f t="shared" si="21"/>
        <v>0</v>
      </c>
      <c r="AC42" s="599">
        <v>0</v>
      </c>
      <c r="AD42" s="599">
        <f>MAX(IF(M42="Yes",'Assumption Inputs'!$C$40,'Assumption Inputs'!$C$41),AC42)</f>
        <v>6000000</v>
      </c>
      <c r="AE42" s="599">
        <f t="shared" si="81"/>
        <v>6000000</v>
      </c>
      <c r="AF42" s="599">
        <f t="shared" si="23"/>
        <v>0</v>
      </c>
      <c r="AG42" s="599">
        <f t="shared" si="82"/>
        <v>0</v>
      </c>
      <c r="AH42" s="599">
        <f t="shared" si="83"/>
        <v>6000000</v>
      </c>
      <c r="AI42" s="599">
        <v>94633844.564478248</v>
      </c>
      <c r="AJ42" s="599">
        <v>89391492.761304379</v>
      </c>
      <c r="AK42" s="602">
        <f t="shared" si="74"/>
        <v>0.94460383779925561</v>
      </c>
      <c r="AL42" s="603">
        <f t="shared" si="25"/>
        <v>0</v>
      </c>
      <c r="AM42" s="600">
        <f t="shared" si="75"/>
        <v>6000000</v>
      </c>
      <c r="AN42" s="600">
        <f t="shared" si="26"/>
        <v>6000000</v>
      </c>
      <c r="AO42" s="600">
        <f t="shared" si="27"/>
        <v>0</v>
      </c>
      <c r="AP42" s="600">
        <f t="shared" si="28"/>
        <v>5242351.8031738829</v>
      </c>
      <c r="AQ42" s="600">
        <f t="shared" si="76"/>
        <v>0</v>
      </c>
      <c r="AR42" s="600">
        <f t="shared" si="77"/>
        <v>6000000</v>
      </c>
      <c r="AS42" s="604">
        <f t="shared" si="29"/>
        <v>0</v>
      </c>
      <c r="AT42" s="605">
        <f t="shared" si="30"/>
        <v>0</v>
      </c>
      <c r="AU42" s="600">
        <f t="shared" si="31"/>
        <v>6000000</v>
      </c>
      <c r="AV42" s="600">
        <f t="shared" si="32"/>
        <v>6000000</v>
      </c>
      <c r="AW42" s="600">
        <f t="shared" si="33"/>
        <v>0</v>
      </c>
      <c r="AX42" s="600">
        <f t="shared" si="34"/>
        <v>5242351.8031738829</v>
      </c>
      <c r="AY42" s="600">
        <f t="shared" si="35"/>
        <v>1.0314585058481642E-11</v>
      </c>
      <c r="AZ42" s="600">
        <f t="shared" si="36"/>
        <v>6000000</v>
      </c>
      <c r="BA42" s="600">
        <f t="shared" si="37"/>
        <v>0</v>
      </c>
      <c r="BB42" s="600">
        <f t="shared" si="38"/>
        <v>0</v>
      </c>
      <c r="BC42" s="600">
        <f t="shared" si="39"/>
        <v>0</v>
      </c>
      <c r="BD42" s="600">
        <f t="shared" si="40"/>
        <v>0</v>
      </c>
      <c r="BE42" s="600">
        <f t="shared" si="41"/>
        <v>5242351.8031738829</v>
      </c>
      <c r="BF42" s="600">
        <f t="shared" si="42"/>
        <v>6000000</v>
      </c>
      <c r="BG42" s="600">
        <v>0</v>
      </c>
      <c r="BH42" s="600">
        <v>0</v>
      </c>
      <c r="BI42" s="600">
        <f t="shared" si="43"/>
        <v>0</v>
      </c>
      <c r="BJ42" s="600">
        <f t="shared" si="44"/>
        <v>6000000</v>
      </c>
      <c r="BK42" s="600">
        <f t="shared" si="45"/>
        <v>2107799.9999999995</v>
      </c>
      <c r="BL42" s="600">
        <v>6000000</v>
      </c>
      <c r="BM42" s="600">
        <f t="shared" si="46"/>
        <v>0</v>
      </c>
      <c r="BN42" s="600">
        <f t="shared" si="47"/>
        <v>0</v>
      </c>
      <c r="BO42" s="600">
        <f t="shared" si="48"/>
        <v>0</v>
      </c>
      <c r="BP42" s="600">
        <f t="shared" si="49"/>
        <v>2107799.9999999995</v>
      </c>
      <c r="BQ42" s="600">
        <f t="shared" si="50"/>
        <v>0</v>
      </c>
      <c r="BR42" s="600">
        <f t="shared" si="51"/>
        <v>0</v>
      </c>
      <c r="BT42" s="606">
        <f t="shared" si="52"/>
        <v>1</v>
      </c>
      <c r="BU42" s="607">
        <f t="shared" si="53"/>
        <v>0</v>
      </c>
      <c r="BV42" s="606">
        <f t="shared" si="54"/>
        <v>1</v>
      </c>
      <c r="BW42" s="607">
        <f t="shared" si="55"/>
        <v>0</v>
      </c>
      <c r="BX42" s="607">
        <f t="shared" si="56"/>
        <v>0</v>
      </c>
      <c r="BY42" s="607">
        <f t="shared" si="57"/>
        <v>0</v>
      </c>
      <c r="BZ42" s="607">
        <f t="shared" si="58"/>
        <v>0</v>
      </c>
      <c r="CA42" s="607">
        <f t="shared" si="59"/>
        <v>0</v>
      </c>
      <c r="CB42" s="607">
        <f t="shared" si="78"/>
        <v>0</v>
      </c>
      <c r="CC42" s="607">
        <f t="shared" si="60"/>
        <v>0</v>
      </c>
      <c r="CD42" s="607">
        <f t="shared" si="61"/>
        <v>0</v>
      </c>
      <c r="CE42" s="607">
        <f t="shared" si="62"/>
        <v>0</v>
      </c>
      <c r="CF42" s="607">
        <f t="shared" si="63"/>
        <v>0</v>
      </c>
      <c r="CG42" s="607">
        <f t="shared" si="64"/>
        <v>0</v>
      </c>
      <c r="CH42" s="607">
        <f t="shared" si="65"/>
        <v>6000000</v>
      </c>
      <c r="CI42" s="609"/>
      <c r="CK42" s="610" t="str">
        <f t="shared" si="79"/>
        <v/>
      </c>
      <c r="CL42" s="611" t="str">
        <f>IF(CK42="","",COUNTIFS($CK$16:CK42,"Yes")+MAX(State!AD:AD))</f>
        <v/>
      </c>
      <c r="CM42" s="612" t="b">
        <f>IF(C42="", "", AND(INDEX('Summary Dynamic'!$D$8:$D$10, MATCH(H42, 'Summary Dynamic'!$C$8:$C$10, 0))="Include", INDEX('Summary Dynamic'!$D$12:$D$14, MATCH(I42, 'Summary Dynamic'!$C$12:$C$14, 0))="Include", INDEX('Summary Dynamic'!$D$16:$D$17, MATCH(J42, 'Summary Dynamic'!$C$16:$C$17, 0))="Include", INDEX('Summary Dynamic'!$D$19:$D$20, MATCH(K42, 'Summary Dynamic'!$C$19:$C$20, 0))="Include", INDEX('Summary Dynamic'!$D$25:$D$26, MATCH(L42, 'Summary Dynamic'!$C$25:$C$26, 0))="Include",'Summary Dynamic'!$D$23="Include"))</f>
        <v>1</v>
      </c>
      <c r="CN42" s="613">
        <f>IFERROR(IF(CM42=TRUE, COUNTIFS($CM$16:CM42, TRUE), ""), "")</f>
        <v>27</v>
      </c>
      <c r="CP42" s="614" t="str">
        <f t="shared" si="66"/>
        <v>Non-Rural Private</v>
      </c>
      <c r="CY42" s="615"/>
      <c r="CZ42" s="616"/>
    </row>
    <row r="43" spans="2:104" x14ac:dyDescent="0.25">
      <c r="B43" s="617">
        <f t="shared" si="67"/>
        <v>28</v>
      </c>
      <c r="C43" s="593" t="s">
        <v>549</v>
      </c>
      <c r="D43" s="594" t="s">
        <v>549</v>
      </c>
      <c r="E43" s="594" t="s">
        <v>550</v>
      </c>
      <c r="F43" s="407" t="s">
        <v>551</v>
      </c>
      <c r="G43" s="408" t="s">
        <v>552</v>
      </c>
      <c r="H43" s="408" t="s">
        <v>22</v>
      </c>
      <c r="I43" s="408" t="s">
        <v>26</v>
      </c>
      <c r="J43" s="408" t="s">
        <v>31</v>
      </c>
      <c r="K43" s="408" t="s">
        <v>35</v>
      </c>
      <c r="L43" s="408" t="s">
        <v>35</v>
      </c>
      <c r="M43" s="408" t="s">
        <v>35</v>
      </c>
      <c r="N43" s="595" t="str">
        <f t="shared" si="18"/>
        <v>No</v>
      </c>
      <c r="O43" s="596">
        <v>788</v>
      </c>
      <c r="P43" s="596">
        <v>9851</v>
      </c>
      <c r="Q43" s="597">
        <v>0.26213050626777712</v>
      </c>
      <c r="R43" s="596">
        <f t="shared" si="68"/>
        <v>2582.2476172438724</v>
      </c>
      <c r="S43" s="596">
        <f t="shared" si="69"/>
        <v>3370.2476172438724</v>
      </c>
      <c r="T43" s="596">
        <f t="shared" si="19"/>
        <v>3370.2476172438724</v>
      </c>
      <c r="U43" s="598">
        <f t="shared" si="70"/>
        <v>7.8847724317758906E-4</v>
      </c>
      <c r="V43" s="599">
        <f t="shared" si="80"/>
        <v>0</v>
      </c>
      <c r="W43" s="600">
        <v>8745985.2761818096</v>
      </c>
      <c r="X43" s="600">
        <v>0</v>
      </c>
      <c r="Y43" s="600">
        <v>4605881.8458272526</v>
      </c>
      <c r="Z43" s="600">
        <f t="shared" si="71"/>
        <v>0</v>
      </c>
      <c r="AA43" s="600">
        <f t="shared" si="72"/>
        <v>8745985.2761818096</v>
      </c>
      <c r="AB43" s="601">
        <f t="shared" si="21"/>
        <v>0</v>
      </c>
      <c r="AC43" s="599">
        <v>353218.9940086038</v>
      </c>
      <c r="AD43" s="599">
        <f>MAX(IF(M43="Yes",'Assumption Inputs'!$C$40,'Assumption Inputs'!$C$41),AC43)</f>
        <v>6000000</v>
      </c>
      <c r="AE43" s="599">
        <f t="shared" si="81"/>
        <v>5673520.6486591408</v>
      </c>
      <c r="AF43" s="599">
        <f t="shared" si="23"/>
        <v>0</v>
      </c>
      <c r="AG43" s="599">
        <f t="shared" si="82"/>
        <v>0</v>
      </c>
      <c r="AH43" s="599">
        <f t="shared" si="83"/>
        <v>5673520.6486591408</v>
      </c>
      <c r="AI43" s="599">
        <v>17550336.572660808</v>
      </c>
      <c r="AJ43" s="599">
        <v>14477871.945138138</v>
      </c>
      <c r="AK43" s="602">
        <f t="shared" si="74"/>
        <v>0.82493414785509989</v>
      </c>
      <c r="AL43" s="603">
        <f t="shared" si="25"/>
        <v>0</v>
      </c>
      <c r="AM43" s="600">
        <f t="shared" si="75"/>
        <v>5673520.6486591408</v>
      </c>
      <c r="AN43" s="600">
        <f t="shared" si="26"/>
        <v>5673520.6486591408</v>
      </c>
      <c r="AO43" s="600">
        <f t="shared" si="27"/>
        <v>0</v>
      </c>
      <c r="AP43" s="600">
        <f t="shared" si="28"/>
        <v>3072464.6275226688</v>
      </c>
      <c r="AQ43" s="600">
        <f t="shared" si="76"/>
        <v>0</v>
      </c>
      <c r="AR43" s="600">
        <f t="shared" si="77"/>
        <v>5673520.6486591408</v>
      </c>
      <c r="AS43" s="604">
        <f t="shared" si="29"/>
        <v>0</v>
      </c>
      <c r="AT43" s="605">
        <f t="shared" si="30"/>
        <v>0</v>
      </c>
      <c r="AU43" s="600">
        <f t="shared" si="31"/>
        <v>5673520.6486591408</v>
      </c>
      <c r="AV43" s="600">
        <f t="shared" si="32"/>
        <v>5673520.6486591408</v>
      </c>
      <c r="AW43" s="600">
        <f t="shared" si="33"/>
        <v>0</v>
      </c>
      <c r="AX43" s="600">
        <f t="shared" si="34"/>
        <v>3072464.6275226688</v>
      </c>
      <c r="AY43" s="600">
        <f t="shared" si="35"/>
        <v>6.0452252976558826E-12</v>
      </c>
      <c r="AZ43" s="600">
        <f t="shared" si="36"/>
        <v>5673520.6486591408</v>
      </c>
      <c r="BA43" s="600">
        <f t="shared" si="37"/>
        <v>0</v>
      </c>
      <c r="BB43" s="600">
        <f t="shared" si="38"/>
        <v>0</v>
      </c>
      <c r="BC43" s="600">
        <f t="shared" si="39"/>
        <v>0</v>
      </c>
      <c r="BD43" s="600">
        <f t="shared" si="40"/>
        <v>0</v>
      </c>
      <c r="BE43" s="600">
        <f t="shared" si="41"/>
        <v>3072464.6275226688</v>
      </c>
      <c r="BF43" s="600">
        <f t="shared" si="42"/>
        <v>5673520.6486591408</v>
      </c>
      <c r="BG43" s="600">
        <v>0</v>
      </c>
      <c r="BH43" s="600">
        <v>0</v>
      </c>
      <c r="BI43" s="600">
        <f t="shared" si="43"/>
        <v>0</v>
      </c>
      <c r="BJ43" s="600">
        <f t="shared" si="44"/>
        <v>5673520.6500000004</v>
      </c>
      <c r="BK43" s="600">
        <f t="shared" si="45"/>
        <v>1993107.8043449998</v>
      </c>
      <c r="BL43" s="600">
        <v>5673520.6500000004</v>
      </c>
      <c r="BM43" s="600">
        <f t="shared" si="46"/>
        <v>0</v>
      </c>
      <c r="BN43" s="600">
        <f t="shared" si="47"/>
        <v>0</v>
      </c>
      <c r="BO43" s="600">
        <f t="shared" si="48"/>
        <v>0</v>
      </c>
      <c r="BP43" s="600">
        <f t="shared" si="49"/>
        <v>1993107.8043449998</v>
      </c>
      <c r="BQ43" s="600">
        <f t="shared" si="50"/>
        <v>0</v>
      </c>
      <c r="BR43" s="600">
        <f t="shared" si="51"/>
        <v>0</v>
      </c>
      <c r="BT43" s="606">
        <f t="shared" si="52"/>
        <v>1</v>
      </c>
      <c r="BU43" s="607">
        <f t="shared" si="53"/>
        <v>0</v>
      </c>
      <c r="BV43" s="606">
        <f t="shared" si="54"/>
        <v>1.1482054780948845</v>
      </c>
      <c r="BW43" s="607">
        <f t="shared" si="55"/>
        <v>0</v>
      </c>
      <c r="BX43" s="607">
        <f t="shared" si="56"/>
        <v>0</v>
      </c>
      <c r="BY43" s="607">
        <f t="shared" si="57"/>
        <v>0</v>
      </c>
      <c r="BZ43" s="607">
        <f t="shared" si="58"/>
        <v>0</v>
      </c>
      <c r="CA43" s="607">
        <f t="shared" si="59"/>
        <v>0</v>
      </c>
      <c r="CB43" s="607">
        <f t="shared" si="78"/>
        <v>0</v>
      </c>
      <c r="CC43" s="607">
        <f t="shared" si="60"/>
        <v>1079356.8236487133</v>
      </c>
      <c r="CD43" s="607">
        <f t="shared" si="61"/>
        <v>3072464.6275226688</v>
      </c>
      <c r="CE43" s="607">
        <f t="shared" si="62"/>
        <v>3072464.6275226683</v>
      </c>
      <c r="CF43" s="607">
        <f t="shared" si="63"/>
        <v>1480844.9</v>
      </c>
      <c r="CG43" s="607">
        <f t="shared" si="64"/>
        <v>0</v>
      </c>
      <c r="CH43" s="607">
        <f t="shared" si="65"/>
        <v>7154365.5500000007</v>
      </c>
      <c r="CI43" s="609"/>
      <c r="CK43" s="610" t="str">
        <f t="shared" si="79"/>
        <v/>
      </c>
      <c r="CL43" s="611" t="str">
        <f>IF(CK43="","",COUNTIFS($CK$16:CK43,"Yes")+MAX(State!AD:AD))</f>
        <v/>
      </c>
      <c r="CM43" s="612" t="b">
        <f>IF(C43="", "", AND(INDEX('Summary Dynamic'!$D$8:$D$10, MATCH(H43, 'Summary Dynamic'!$C$8:$C$10, 0))="Include", INDEX('Summary Dynamic'!$D$12:$D$14, MATCH(I43, 'Summary Dynamic'!$C$12:$C$14, 0))="Include", INDEX('Summary Dynamic'!$D$16:$D$17, MATCH(J43, 'Summary Dynamic'!$C$16:$C$17, 0))="Include", INDEX('Summary Dynamic'!$D$19:$D$20, MATCH(K43, 'Summary Dynamic'!$C$19:$C$20, 0))="Include", INDEX('Summary Dynamic'!$D$25:$D$26, MATCH(L43, 'Summary Dynamic'!$C$25:$C$26, 0))="Include",'Summary Dynamic'!$D$23="Include"))</f>
        <v>1</v>
      </c>
      <c r="CN43" s="613">
        <f>IFERROR(IF(CM43=TRUE, COUNTIFS($CM$16:CM43, TRUE), ""), "")</f>
        <v>28</v>
      </c>
      <c r="CP43" s="614" t="str">
        <f t="shared" si="66"/>
        <v>Rural Private</v>
      </c>
      <c r="CY43" s="615"/>
      <c r="CZ43" s="616"/>
    </row>
    <row r="44" spans="2:104" x14ac:dyDescent="0.25">
      <c r="B44" s="617">
        <f t="shared" si="67"/>
        <v>29</v>
      </c>
      <c r="C44" s="593" t="s">
        <v>553</v>
      </c>
      <c r="D44" s="594" t="s">
        <v>553</v>
      </c>
      <c r="E44" s="594" t="s">
        <v>554</v>
      </c>
      <c r="F44" s="407" t="s">
        <v>555</v>
      </c>
      <c r="G44" s="408" t="s">
        <v>556</v>
      </c>
      <c r="H44" s="408" t="s">
        <v>22</v>
      </c>
      <c r="I44" s="408" t="s">
        <v>26</v>
      </c>
      <c r="J44" s="408" t="s">
        <v>31</v>
      </c>
      <c r="K44" s="408" t="s">
        <v>35</v>
      </c>
      <c r="L44" s="408" t="s">
        <v>35</v>
      </c>
      <c r="M44" s="408" t="s">
        <v>35</v>
      </c>
      <c r="N44" s="595" t="str">
        <f t="shared" si="18"/>
        <v>No</v>
      </c>
      <c r="O44" s="596">
        <v>257</v>
      </c>
      <c r="P44" s="596">
        <v>2307</v>
      </c>
      <c r="Q44" s="597">
        <v>5.0259928884462068E-2</v>
      </c>
      <c r="R44" s="596">
        <f t="shared" si="68"/>
        <v>115.94965593645399</v>
      </c>
      <c r="S44" s="596">
        <f t="shared" si="69"/>
        <v>372.94965593645401</v>
      </c>
      <c r="T44" s="596">
        <f t="shared" si="19"/>
        <v>372.94965593645401</v>
      </c>
      <c r="U44" s="598">
        <f t="shared" si="70"/>
        <v>8.725243660205728E-5</v>
      </c>
      <c r="V44" s="599">
        <f t="shared" si="80"/>
        <v>0</v>
      </c>
      <c r="W44" s="600">
        <v>3614079.1150965528</v>
      </c>
      <c r="X44" s="600">
        <v>0</v>
      </c>
      <c r="Y44" s="600">
        <v>1890022.8898064317</v>
      </c>
      <c r="Z44" s="600">
        <f t="shared" si="71"/>
        <v>0</v>
      </c>
      <c r="AA44" s="600">
        <f t="shared" si="72"/>
        <v>3614079.1150965528</v>
      </c>
      <c r="AB44" s="601">
        <f t="shared" si="21"/>
        <v>0</v>
      </c>
      <c r="AC44" s="599">
        <v>1012886.586780065</v>
      </c>
      <c r="AD44" s="599">
        <f>MAX(IF(M44="Yes",'Assumption Inputs'!$C$40,'Assumption Inputs'!$C$41),AC44)</f>
        <v>6000000</v>
      </c>
      <c r="AE44" s="599">
        <f t="shared" si="81"/>
        <v>2344453.121963134</v>
      </c>
      <c r="AF44" s="599">
        <f t="shared" si="23"/>
        <v>0</v>
      </c>
      <c r="AG44" s="599">
        <f t="shared" si="82"/>
        <v>0</v>
      </c>
      <c r="AH44" s="599">
        <f t="shared" si="83"/>
        <v>2344453.121963134</v>
      </c>
      <c r="AI44" s="599">
        <v>4759014.4621383585</v>
      </c>
      <c r="AJ44" s="599">
        <v>3489388.4690049402</v>
      </c>
      <c r="AK44" s="602">
        <f t="shared" si="74"/>
        <v>0.73321661381063763</v>
      </c>
      <c r="AL44" s="603">
        <f t="shared" si="25"/>
        <v>0</v>
      </c>
      <c r="AM44" s="600">
        <f t="shared" si="75"/>
        <v>2344453.121963134</v>
      </c>
      <c r="AN44" s="600">
        <f t="shared" si="26"/>
        <v>2344453.121963134</v>
      </c>
      <c r="AO44" s="600">
        <f t="shared" si="27"/>
        <v>0</v>
      </c>
      <c r="AP44" s="600">
        <f t="shared" si="28"/>
        <v>1269625.9931334187</v>
      </c>
      <c r="AQ44" s="600">
        <f t="shared" si="76"/>
        <v>0</v>
      </c>
      <c r="AR44" s="600">
        <f t="shared" si="77"/>
        <v>2344453.121963134</v>
      </c>
      <c r="AS44" s="604">
        <f t="shared" si="29"/>
        <v>0</v>
      </c>
      <c r="AT44" s="605">
        <f t="shared" si="30"/>
        <v>0</v>
      </c>
      <c r="AU44" s="600">
        <f t="shared" si="31"/>
        <v>2344453.121963134</v>
      </c>
      <c r="AV44" s="600">
        <f t="shared" si="32"/>
        <v>2344453.121963134</v>
      </c>
      <c r="AW44" s="600">
        <f t="shared" si="33"/>
        <v>0</v>
      </c>
      <c r="AX44" s="600">
        <f t="shared" si="34"/>
        <v>1269625.9931334187</v>
      </c>
      <c r="AY44" s="600">
        <f t="shared" si="35"/>
        <v>2.4980515978926394E-12</v>
      </c>
      <c r="AZ44" s="600">
        <f t="shared" si="36"/>
        <v>2344453.121963134</v>
      </c>
      <c r="BA44" s="600">
        <f t="shared" si="37"/>
        <v>0</v>
      </c>
      <c r="BB44" s="600">
        <f t="shared" si="38"/>
        <v>0</v>
      </c>
      <c r="BC44" s="600">
        <f t="shared" si="39"/>
        <v>0</v>
      </c>
      <c r="BD44" s="600">
        <f t="shared" si="40"/>
        <v>0</v>
      </c>
      <c r="BE44" s="600">
        <f t="shared" si="41"/>
        <v>1269625.9931334187</v>
      </c>
      <c r="BF44" s="600">
        <f t="shared" si="42"/>
        <v>2344453.121963134</v>
      </c>
      <c r="BG44" s="600">
        <v>0</v>
      </c>
      <c r="BH44" s="600">
        <v>0</v>
      </c>
      <c r="BI44" s="600">
        <f t="shared" si="43"/>
        <v>0</v>
      </c>
      <c r="BJ44" s="600">
        <f t="shared" si="44"/>
        <v>2344453.1200000001</v>
      </c>
      <c r="BK44" s="600">
        <f t="shared" si="45"/>
        <v>823606.3810559999</v>
      </c>
      <c r="BL44" s="600">
        <v>2344453.1200000001</v>
      </c>
      <c r="BM44" s="600">
        <f t="shared" si="46"/>
        <v>0</v>
      </c>
      <c r="BN44" s="600">
        <f t="shared" si="47"/>
        <v>0</v>
      </c>
      <c r="BO44" s="600">
        <f t="shared" si="48"/>
        <v>0</v>
      </c>
      <c r="BP44" s="600">
        <f t="shared" si="49"/>
        <v>823606.3810559999</v>
      </c>
      <c r="BQ44" s="600">
        <f t="shared" si="50"/>
        <v>0</v>
      </c>
      <c r="BR44" s="600">
        <f t="shared" si="51"/>
        <v>0</v>
      </c>
      <c r="BT44" s="606">
        <f t="shared" si="52"/>
        <v>1</v>
      </c>
      <c r="BU44" s="607">
        <f t="shared" si="53"/>
        <v>0</v>
      </c>
      <c r="BV44" s="606">
        <f t="shared" si="54"/>
        <v>1.2258507796977007</v>
      </c>
      <c r="BW44" s="607">
        <f t="shared" si="55"/>
        <v>0</v>
      </c>
      <c r="BX44" s="607">
        <f t="shared" si="56"/>
        <v>0</v>
      </c>
      <c r="BY44" s="607">
        <f t="shared" si="57"/>
        <v>0</v>
      </c>
      <c r="BZ44" s="607">
        <f t="shared" si="58"/>
        <v>0</v>
      </c>
      <c r="CA44" s="607">
        <f t="shared" si="59"/>
        <v>0</v>
      </c>
      <c r="CB44" s="607">
        <f t="shared" si="78"/>
        <v>0</v>
      </c>
      <c r="CC44" s="607">
        <f t="shared" si="60"/>
        <v>446019.61138776992</v>
      </c>
      <c r="CD44" s="607">
        <f t="shared" si="61"/>
        <v>1269625.9931334187</v>
      </c>
      <c r="CE44" s="607">
        <f t="shared" si="62"/>
        <v>1269625.9931334187</v>
      </c>
      <c r="CF44" s="607">
        <f t="shared" si="63"/>
        <v>611925.41</v>
      </c>
      <c r="CG44" s="607">
        <f t="shared" si="64"/>
        <v>0</v>
      </c>
      <c r="CH44" s="607">
        <f t="shared" si="65"/>
        <v>2956378.5300000003</v>
      </c>
      <c r="CI44" s="609"/>
      <c r="CK44" s="610" t="str">
        <f t="shared" si="79"/>
        <v/>
      </c>
      <c r="CL44" s="611" t="str">
        <f>IF(CK44="","",COUNTIFS($CK$16:CK44,"Yes")+MAX(State!AD:AD))</f>
        <v/>
      </c>
      <c r="CM44" s="612" t="b">
        <f>IF(C44="", "", AND(INDEX('Summary Dynamic'!$D$8:$D$10, MATCH(H44, 'Summary Dynamic'!$C$8:$C$10, 0))="Include", INDEX('Summary Dynamic'!$D$12:$D$14, MATCH(I44, 'Summary Dynamic'!$C$12:$C$14, 0))="Include", INDEX('Summary Dynamic'!$D$16:$D$17, MATCH(J44, 'Summary Dynamic'!$C$16:$C$17, 0))="Include", INDEX('Summary Dynamic'!$D$19:$D$20, MATCH(K44, 'Summary Dynamic'!$C$19:$C$20, 0))="Include", INDEX('Summary Dynamic'!$D$25:$D$26, MATCH(L44, 'Summary Dynamic'!$C$25:$C$26, 0))="Include",'Summary Dynamic'!$D$23="Include"))</f>
        <v>1</v>
      </c>
      <c r="CN44" s="613">
        <f>IFERROR(IF(CM44=TRUE, COUNTIFS($CM$16:CM44, TRUE), ""), "")</f>
        <v>29</v>
      </c>
      <c r="CP44" s="614" t="str">
        <f t="shared" si="66"/>
        <v>Rural Private</v>
      </c>
      <c r="CY44" s="615"/>
      <c r="CZ44" s="616"/>
    </row>
    <row r="45" spans="2:104" x14ac:dyDescent="0.25">
      <c r="B45" s="617">
        <f t="shared" si="67"/>
        <v>30</v>
      </c>
      <c r="C45" s="593" t="s">
        <v>557</v>
      </c>
      <c r="D45" s="594" t="s">
        <v>557</v>
      </c>
      <c r="E45" s="594" t="s">
        <v>558</v>
      </c>
      <c r="F45" s="407" t="s">
        <v>559</v>
      </c>
      <c r="G45" s="408" t="s">
        <v>560</v>
      </c>
      <c r="H45" s="408" t="s">
        <v>22</v>
      </c>
      <c r="I45" s="408" t="s">
        <v>26</v>
      </c>
      <c r="J45" s="408" t="s">
        <v>35</v>
      </c>
      <c r="K45" s="408" t="s">
        <v>35</v>
      </c>
      <c r="L45" s="408" t="s">
        <v>35</v>
      </c>
      <c r="M45" s="408" t="s">
        <v>35</v>
      </c>
      <c r="N45" s="595" t="str">
        <f t="shared" si="18"/>
        <v>No</v>
      </c>
      <c r="O45" s="596">
        <v>11165</v>
      </c>
      <c r="P45" s="596">
        <v>56018</v>
      </c>
      <c r="Q45" s="597">
        <v>0.1144968177639782</v>
      </c>
      <c r="R45" s="596">
        <f t="shared" si="68"/>
        <v>6413.8827375025312</v>
      </c>
      <c r="S45" s="596">
        <f t="shared" si="69"/>
        <v>17578.882737502532</v>
      </c>
      <c r="T45" s="596">
        <f t="shared" si="19"/>
        <v>17578.882737502532</v>
      </c>
      <c r="U45" s="598">
        <f t="shared" si="70"/>
        <v>4.1126203689279698E-3</v>
      </c>
      <c r="V45" s="599">
        <f t="shared" si="80"/>
        <v>0</v>
      </c>
      <c r="W45" s="600">
        <v>4516883.1470090244</v>
      </c>
      <c r="X45" s="600">
        <v>0</v>
      </c>
      <c r="Y45" s="600">
        <v>2871629.3897990193</v>
      </c>
      <c r="Z45" s="600">
        <f t="shared" si="71"/>
        <v>0</v>
      </c>
      <c r="AA45" s="600">
        <f t="shared" si="72"/>
        <v>4516883.1470090244</v>
      </c>
      <c r="AB45" s="601">
        <f t="shared" si="21"/>
        <v>0</v>
      </c>
      <c r="AC45" s="599">
        <v>0</v>
      </c>
      <c r="AD45" s="599">
        <f>MAX(IF(M45="Yes",'Assumption Inputs'!$C$40,'Assumption Inputs'!$C$41),AC45)</f>
        <v>6000000</v>
      </c>
      <c r="AE45" s="599">
        <f t="shared" si="81"/>
        <v>2930102.0974647547</v>
      </c>
      <c r="AF45" s="599">
        <f t="shared" si="23"/>
        <v>0</v>
      </c>
      <c r="AG45" s="599">
        <f t="shared" si="82"/>
        <v>0</v>
      </c>
      <c r="AH45" s="599">
        <f t="shared" si="83"/>
        <v>2930102.0974647547</v>
      </c>
      <c r="AI45" s="599">
        <v>32843861.479594134</v>
      </c>
      <c r="AJ45" s="599">
        <v>31257080.430049866</v>
      </c>
      <c r="AK45" s="602">
        <f t="shared" si="74"/>
        <v>0.95168713488424217</v>
      </c>
      <c r="AL45" s="603">
        <f t="shared" si="25"/>
        <v>0</v>
      </c>
      <c r="AM45" s="600">
        <f t="shared" si="75"/>
        <v>2930102.0974647547</v>
      </c>
      <c r="AN45" s="600">
        <f t="shared" si="26"/>
        <v>2930102.0974647547</v>
      </c>
      <c r="AO45" s="600">
        <f t="shared" si="27"/>
        <v>0</v>
      </c>
      <c r="AP45" s="600">
        <f t="shared" si="28"/>
        <v>1586781.0495442697</v>
      </c>
      <c r="AQ45" s="600">
        <f t="shared" si="76"/>
        <v>0</v>
      </c>
      <c r="AR45" s="600">
        <f t="shared" si="77"/>
        <v>2930102.0974647547</v>
      </c>
      <c r="AS45" s="604">
        <f t="shared" si="29"/>
        <v>0</v>
      </c>
      <c r="AT45" s="605">
        <f t="shared" si="30"/>
        <v>0</v>
      </c>
      <c r="AU45" s="600">
        <f t="shared" si="31"/>
        <v>2930102.0974647547</v>
      </c>
      <c r="AV45" s="600">
        <f t="shared" si="32"/>
        <v>2930102.0974647547</v>
      </c>
      <c r="AW45" s="600">
        <f t="shared" si="33"/>
        <v>0</v>
      </c>
      <c r="AX45" s="600">
        <f t="shared" si="34"/>
        <v>1586781.0495442697</v>
      </c>
      <c r="AY45" s="600">
        <f t="shared" si="35"/>
        <v>3.1220697731125291E-12</v>
      </c>
      <c r="AZ45" s="600">
        <f t="shared" si="36"/>
        <v>2930102.0974647547</v>
      </c>
      <c r="BA45" s="600">
        <f t="shared" si="37"/>
        <v>0</v>
      </c>
      <c r="BB45" s="600">
        <f t="shared" si="38"/>
        <v>0</v>
      </c>
      <c r="BC45" s="600">
        <f t="shared" si="39"/>
        <v>0</v>
      </c>
      <c r="BD45" s="600">
        <f t="shared" si="40"/>
        <v>0</v>
      </c>
      <c r="BE45" s="600">
        <f t="shared" si="41"/>
        <v>1586781.0495442697</v>
      </c>
      <c r="BF45" s="600">
        <f t="shared" si="42"/>
        <v>2930102.0974647547</v>
      </c>
      <c r="BG45" s="600">
        <v>0</v>
      </c>
      <c r="BH45" s="600">
        <v>0</v>
      </c>
      <c r="BI45" s="600">
        <f t="shared" si="43"/>
        <v>0</v>
      </c>
      <c r="BJ45" s="600">
        <f t="shared" si="44"/>
        <v>2930102.1</v>
      </c>
      <c r="BK45" s="600">
        <f t="shared" si="45"/>
        <v>1029344.8677299998</v>
      </c>
      <c r="BL45" s="600">
        <v>2930102.1</v>
      </c>
      <c r="BM45" s="600">
        <f t="shared" si="46"/>
        <v>0</v>
      </c>
      <c r="BN45" s="600">
        <f t="shared" si="47"/>
        <v>0</v>
      </c>
      <c r="BO45" s="600">
        <f t="shared" si="48"/>
        <v>0</v>
      </c>
      <c r="BP45" s="600">
        <f t="shared" si="49"/>
        <v>1029344.8677299998</v>
      </c>
      <c r="BQ45" s="600">
        <f t="shared" si="50"/>
        <v>0</v>
      </c>
      <c r="BR45" s="600">
        <f t="shared" si="51"/>
        <v>0</v>
      </c>
      <c r="BT45" s="606">
        <f t="shared" si="52"/>
        <v>1</v>
      </c>
      <c r="BU45" s="607">
        <f t="shared" si="53"/>
        <v>0</v>
      </c>
      <c r="BV45" s="606">
        <f t="shared" si="54"/>
        <v>1</v>
      </c>
      <c r="BW45" s="607">
        <f t="shared" si="55"/>
        <v>0</v>
      </c>
      <c r="BX45" s="607">
        <f t="shared" si="56"/>
        <v>0</v>
      </c>
      <c r="BY45" s="607">
        <f t="shared" si="57"/>
        <v>0</v>
      </c>
      <c r="BZ45" s="607">
        <f t="shared" si="58"/>
        <v>0</v>
      </c>
      <c r="CA45" s="607">
        <f t="shared" si="59"/>
        <v>0</v>
      </c>
      <c r="CB45" s="607">
        <f t="shared" si="78"/>
        <v>0</v>
      </c>
      <c r="CC45" s="607">
        <f t="shared" si="60"/>
        <v>0</v>
      </c>
      <c r="CD45" s="607">
        <f t="shared" si="61"/>
        <v>0</v>
      </c>
      <c r="CE45" s="607">
        <f t="shared" si="62"/>
        <v>0</v>
      </c>
      <c r="CF45" s="607">
        <f t="shared" si="63"/>
        <v>0</v>
      </c>
      <c r="CG45" s="607">
        <f t="shared" si="64"/>
        <v>0</v>
      </c>
      <c r="CH45" s="607">
        <f t="shared" si="65"/>
        <v>2930102.1</v>
      </c>
      <c r="CI45" s="609"/>
      <c r="CK45" s="610" t="str">
        <f t="shared" si="79"/>
        <v/>
      </c>
      <c r="CL45" s="611" t="str">
        <f>IF(CK45="","",COUNTIFS($CK$16:CK45,"Yes")+MAX(State!AD:AD))</f>
        <v/>
      </c>
      <c r="CM45" s="612" t="b">
        <f>IF(C45="", "", AND(INDEX('Summary Dynamic'!$D$8:$D$10, MATCH(H45, 'Summary Dynamic'!$C$8:$C$10, 0))="Include", INDEX('Summary Dynamic'!$D$12:$D$14, MATCH(I45, 'Summary Dynamic'!$C$12:$C$14, 0))="Include", INDEX('Summary Dynamic'!$D$16:$D$17, MATCH(J45, 'Summary Dynamic'!$C$16:$C$17, 0))="Include", INDEX('Summary Dynamic'!$D$19:$D$20, MATCH(K45, 'Summary Dynamic'!$C$19:$C$20, 0))="Include", INDEX('Summary Dynamic'!$D$25:$D$26, MATCH(L45, 'Summary Dynamic'!$C$25:$C$26, 0))="Include",'Summary Dynamic'!$D$23="Include"))</f>
        <v>1</v>
      </c>
      <c r="CN45" s="613">
        <f>IFERROR(IF(CM45=TRUE, COUNTIFS($CM$16:CM45, TRUE), ""), "")</f>
        <v>30</v>
      </c>
      <c r="CP45" s="614" t="str">
        <f t="shared" si="66"/>
        <v>Non-Rural Private</v>
      </c>
      <c r="CY45" s="615"/>
      <c r="CZ45" s="616"/>
    </row>
    <row r="46" spans="2:104" x14ac:dyDescent="0.25">
      <c r="B46" s="617">
        <f t="shared" si="67"/>
        <v>31</v>
      </c>
      <c r="C46" s="593" t="s">
        <v>561</v>
      </c>
      <c r="D46" s="594" t="s">
        <v>561</v>
      </c>
      <c r="E46" s="594" t="s">
        <v>562</v>
      </c>
      <c r="F46" s="407" t="s">
        <v>563</v>
      </c>
      <c r="G46" s="408" t="s">
        <v>564</v>
      </c>
      <c r="H46" s="408" t="s">
        <v>22</v>
      </c>
      <c r="I46" s="408" t="s">
        <v>26</v>
      </c>
      <c r="J46" s="408" t="s">
        <v>35</v>
      </c>
      <c r="K46" s="408" t="s">
        <v>35</v>
      </c>
      <c r="L46" s="408" t="s">
        <v>35</v>
      </c>
      <c r="M46" s="408" t="s">
        <v>37</v>
      </c>
      <c r="N46" s="595" t="str">
        <f t="shared" si="18"/>
        <v>No</v>
      </c>
      <c r="O46" s="596">
        <v>7653</v>
      </c>
      <c r="P46" s="596">
        <v>74725</v>
      </c>
      <c r="Q46" s="597">
        <v>0.11208916572701672</v>
      </c>
      <c r="R46" s="596">
        <f t="shared" si="68"/>
        <v>8375.8629089513233</v>
      </c>
      <c r="S46" s="596">
        <f t="shared" si="69"/>
        <v>16028.862908951323</v>
      </c>
      <c r="T46" s="596">
        <f t="shared" si="19"/>
        <v>16028.862908951323</v>
      </c>
      <c r="U46" s="598">
        <f t="shared" si="70"/>
        <v>3.7499896366834018E-3</v>
      </c>
      <c r="V46" s="599">
        <f t="shared" si="80"/>
        <v>0</v>
      </c>
      <c r="W46" s="600">
        <v>30802400.922833107</v>
      </c>
      <c r="X46" s="600">
        <v>0</v>
      </c>
      <c r="Y46" s="600">
        <v>6204588.6953957677</v>
      </c>
      <c r="Z46" s="600">
        <f t="shared" si="71"/>
        <v>0</v>
      </c>
      <c r="AA46" s="600">
        <f t="shared" si="72"/>
        <v>30802400.922833107</v>
      </c>
      <c r="AB46" s="601">
        <f t="shared" si="21"/>
        <v>0</v>
      </c>
      <c r="AC46" s="599">
        <v>1158840.5312853481</v>
      </c>
      <c r="AD46" s="599">
        <f>MAX(IF(M46="Yes",'Assumption Inputs'!$C$40,'Assumption Inputs'!$C$41),AC46)</f>
        <v>8000000</v>
      </c>
      <c r="AE46" s="599">
        <f t="shared" si="81"/>
        <v>8000000</v>
      </c>
      <c r="AF46" s="599">
        <f t="shared" si="23"/>
        <v>0</v>
      </c>
      <c r="AG46" s="599">
        <f t="shared" si="82"/>
        <v>0</v>
      </c>
      <c r="AH46" s="599">
        <f t="shared" si="83"/>
        <v>8000000</v>
      </c>
      <c r="AI46" s="599">
        <v>55006175.622242793</v>
      </c>
      <c r="AJ46" s="599">
        <v>32203774.699409686</v>
      </c>
      <c r="AK46" s="602">
        <f t="shared" si="74"/>
        <v>0.58545743882596846</v>
      </c>
      <c r="AL46" s="603">
        <f t="shared" si="25"/>
        <v>1568170.629869096</v>
      </c>
      <c r="AM46" s="600">
        <f t="shared" si="75"/>
        <v>9568170.629869096</v>
      </c>
      <c r="AN46" s="600">
        <f t="shared" si="26"/>
        <v>9568170.629869096</v>
      </c>
      <c r="AO46" s="600">
        <f t="shared" si="27"/>
        <v>0</v>
      </c>
      <c r="AP46" s="600">
        <f t="shared" si="28"/>
        <v>21234230.292964011</v>
      </c>
      <c r="AQ46" s="600">
        <f t="shared" si="76"/>
        <v>0</v>
      </c>
      <c r="AR46" s="600">
        <f t="shared" si="77"/>
        <v>9568170.629869096</v>
      </c>
      <c r="AS46" s="604">
        <f t="shared" si="29"/>
        <v>0</v>
      </c>
      <c r="AT46" s="605">
        <f t="shared" si="30"/>
        <v>0</v>
      </c>
      <c r="AU46" s="600">
        <f t="shared" si="31"/>
        <v>9568170.629869096</v>
      </c>
      <c r="AV46" s="600">
        <f t="shared" si="32"/>
        <v>9568170.629869096</v>
      </c>
      <c r="AW46" s="600">
        <f t="shared" si="33"/>
        <v>0</v>
      </c>
      <c r="AX46" s="600">
        <f t="shared" si="34"/>
        <v>21234230.292964011</v>
      </c>
      <c r="AY46" s="600">
        <f t="shared" si="35"/>
        <v>4.1779392671732174E-11</v>
      </c>
      <c r="AZ46" s="600">
        <f t="shared" si="36"/>
        <v>9568170.629869096</v>
      </c>
      <c r="BA46" s="600">
        <f t="shared" si="37"/>
        <v>0</v>
      </c>
      <c r="BB46" s="600">
        <f t="shared" si="38"/>
        <v>0</v>
      </c>
      <c r="BC46" s="600">
        <f t="shared" si="39"/>
        <v>0</v>
      </c>
      <c r="BD46" s="600">
        <f t="shared" si="40"/>
        <v>0</v>
      </c>
      <c r="BE46" s="600">
        <f t="shared" si="41"/>
        <v>21234230.292964011</v>
      </c>
      <c r="BF46" s="600">
        <f t="shared" si="42"/>
        <v>9568170.629869096</v>
      </c>
      <c r="BG46" s="600">
        <v>0</v>
      </c>
      <c r="BH46" s="600">
        <v>0</v>
      </c>
      <c r="BI46" s="600">
        <f t="shared" si="43"/>
        <v>0</v>
      </c>
      <c r="BJ46" s="600">
        <f t="shared" si="44"/>
        <v>9568170.6300000008</v>
      </c>
      <c r="BK46" s="600">
        <f t="shared" si="45"/>
        <v>3361298.3423189996</v>
      </c>
      <c r="BL46" s="600">
        <v>9568170.6300000008</v>
      </c>
      <c r="BM46" s="600">
        <f t="shared" si="46"/>
        <v>0</v>
      </c>
      <c r="BN46" s="600">
        <f t="shared" si="47"/>
        <v>0</v>
      </c>
      <c r="BO46" s="600">
        <f t="shared" si="48"/>
        <v>0</v>
      </c>
      <c r="BP46" s="600">
        <f t="shared" si="49"/>
        <v>3361298.3423189996</v>
      </c>
      <c r="BQ46" s="600">
        <f t="shared" si="50"/>
        <v>0</v>
      </c>
      <c r="BR46" s="600">
        <f t="shared" si="51"/>
        <v>0</v>
      </c>
      <c r="BT46" s="606">
        <f t="shared" si="52"/>
        <v>1</v>
      </c>
      <c r="BU46" s="607">
        <f t="shared" si="53"/>
        <v>0</v>
      </c>
      <c r="BV46" s="606">
        <f t="shared" si="54"/>
        <v>1</v>
      </c>
      <c r="BW46" s="607">
        <f t="shared" si="55"/>
        <v>0</v>
      </c>
      <c r="BX46" s="607">
        <f t="shared" si="56"/>
        <v>0</v>
      </c>
      <c r="BY46" s="607">
        <f t="shared" si="57"/>
        <v>0</v>
      </c>
      <c r="BZ46" s="607">
        <f t="shared" si="58"/>
        <v>0</v>
      </c>
      <c r="CA46" s="607">
        <f t="shared" si="59"/>
        <v>0</v>
      </c>
      <c r="CB46" s="607">
        <f t="shared" si="78"/>
        <v>0</v>
      </c>
      <c r="CC46" s="607">
        <f t="shared" si="60"/>
        <v>0</v>
      </c>
      <c r="CD46" s="607">
        <f t="shared" si="61"/>
        <v>0</v>
      </c>
      <c r="CE46" s="607">
        <f t="shared" si="62"/>
        <v>0</v>
      </c>
      <c r="CF46" s="607">
        <f t="shared" si="63"/>
        <v>0</v>
      </c>
      <c r="CG46" s="607">
        <f t="shared" si="64"/>
        <v>0</v>
      </c>
      <c r="CH46" s="607">
        <f t="shared" si="65"/>
        <v>9568170.6300000008</v>
      </c>
      <c r="CI46" s="609"/>
      <c r="CK46" s="610" t="str">
        <f t="shared" si="79"/>
        <v/>
      </c>
      <c r="CL46" s="611" t="str">
        <f>IF(CK46="","",COUNTIFS($CK$16:CK46,"Yes")+MAX(State!AD:AD))</f>
        <v/>
      </c>
      <c r="CM46" s="612" t="b">
        <f>IF(C46="", "", AND(INDEX('Summary Dynamic'!$D$8:$D$10, MATCH(H46, 'Summary Dynamic'!$C$8:$C$10, 0))="Include", INDEX('Summary Dynamic'!$D$12:$D$14, MATCH(I46, 'Summary Dynamic'!$C$12:$C$14, 0))="Include", INDEX('Summary Dynamic'!$D$16:$D$17, MATCH(J46, 'Summary Dynamic'!$C$16:$C$17, 0))="Include", INDEX('Summary Dynamic'!$D$19:$D$20, MATCH(K46, 'Summary Dynamic'!$C$19:$C$20, 0))="Include", INDEX('Summary Dynamic'!$D$25:$D$26, MATCH(L46, 'Summary Dynamic'!$C$25:$C$26, 0))="Include",'Summary Dynamic'!$D$23="Include"))</f>
        <v>1</v>
      </c>
      <c r="CN46" s="613">
        <f>IFERROR(IF(CM46=TRUE, COUNTIFS($CM$16:CM46, TRUE), ""), "")</f>
        <v>31</v>
      </c>
      <c r="CP46" s="614" t="str">
        <f t="shared" si="66"/>
        <v>Non-Rural Private</v>
      </c>
      <c r="CY46" s="615"/>
      <c r="CZ46" s="616"/>
    </row>
    <row r="47" spans="2:104" x14ac:dyDescent="0.25">
      <c r="B47" s="617">
        <f t="shared" si="67"/>
        <v>32</v>
      </c>
      <c r="C47" s="593" t="s">
        <v>565</v>
      </c>
      <c r="D47" s="594" t="s">
        <v>565</v>
      </c>
      <c r="E47" s="594" t="s">
        <v>566</v>
      </c>
      <c r="F47" s="407" t="s">
        <v>567</v>
      </c>
      <c r="G47" s="408" t="s">
        <v>568</v>
      </c>
      <c r="H47" s="408" t="s">
        <v>22</v>
      </c>
      <c r="I47" s="408" t="s">
        <v>26</v>
      </c>
      <c r="J47" s="408" t="s">
        <v>31</v>
      </c>
      <c r="K47" s="408" t="s">
        <v>35</v>
      </c>
      <c r="L47" s="408" t="s">
        <v>35</v>
      </c>
      <c r="M47" s="408" t="s">
        <v>35</v>
      </c>
      <c r="N47" s="595" t="str">
        <f t="shared" si="18"/>
        <v>No</v>
      </c>
      <c r="O47" s="596">
        <v>88</v>
      </c>
      <c r="P47" s="596">
        <v>1935</v>
      </c>
      <c r="Q47" s="597">
        <v>8.2816056202784177E-2</v>
      </c>
      <c r="R47" s="596">
        <f t="shared" si="68"/>
        <v>160.24906875238739</v>
      </c>
      <c r="S47" s="596">
        <f t="shared" si="69"/>
        <v>248.24906875238739</v>
      </c>
      <c r="T47" s="596">
        <f t="shared" si="19"/>
        <v>248.24906875238739</v>
      </c>
      <c r="U47" s="598">
        <f t="shared" si="70"/>
        <v>5.8078445141475325E-5</v>
      </c>
      <c r="V47" s="599">
        <f t="shared" si="80"/>
        <v>0</v>
      </c>
      <c r="W47" s="600">
        <v>334607.93151278479</v>
      </c>
      <c r="X47" s="600">
        <v>0</v>
      </c>
      <c r="Y47" s="600">
        <v>918832.82148436643</v>
      </c>
      <c r="Z47" s="600">
        <f t="shared" si="71"/>
        <v>0</v>
      </c>
      <c r="AA47" s="600">
        <f t="shared" si="72"/>
        <v>334607.93151278479</v>
      </c>
      <c r="AB47" s="601">
        <f t="shared" si="21"/>
        <v>0</v>
      </c>
      <c r="AC47" s="599">
        <v>0</v>
      </c>
      <c r="AD47" s="599">
        <f>MAX(IF(M47="Yes",'Assumption Inputs'!$C$40,'Assumption Inputs'!$C$41),AC47)</f>
        <v>6000000</v>
      </c>
      <c r="AE47" s="599">
        <f t="shared" si="81"/>
        <v>217060.16517234352</v>
      </c>
      <c r="AF47" s="599">
        <f t="shared" si="23"/>
        <v>0</v>
      </c>
      <c r="AG47" s="599">
        <f t="shared" si="82"/>
        <v>0</v>
      </c>
      <c r="AH47" s="599">
        <f t="shared" si="83"/>
        <v>217060.16517234352</v>
      </c>
      <c r="AI47" s="599">
        <v>3721788.4655530723</v>
      </c>
      <c r="AJ47" s="599">
        <v>3604240.6992126307</v>
      </c>
      <c r="AK47" s="602">
        <f t="shared" si="74"/>
        <v>0.96841632257491195</v>
      </c>
      <c r="AL47" s="603">
        <f t="shared" si="25"/>
        <v>0</v>
      </c>
      <c r="AM47" s="600">
        <f t="shared" si="75"/>
        <v>217060.16517234352</v>
      </c>
      <c r="AN47" s="600">
        <f t="shared" si="26"/>
        <v>217060.16517234352</v>
      </c>
      <c r="AO47" s="600">
        <f t="shared" si="27"/>
        <v>0</v>
      </c>
      <c r="AP47" s="600">
        <f t="shared" si="28"/>
        <v>117547.76634044127</v>
      </c>
      <c r="AQ47" s="600">
        <f t="shared" si="76"/>
        <v>0</v>
      </c>
      <c r="AR47" s="600">
        <f t="shared" si="77"/>
        <v>217060.16517234352</v>
      </c>
      <c r="AS47" s="604">
        <f t="shared" si="29"/>
        <v>0</v>
      </c>
      <c r="AT47" s="605">
        <f t="shared" si="30"/>
        <v>0</v>
      </c>
      <c r="AU47" s="600">
        <f t="shared" si="31"/>
        <v>217060.16517234352</v>
      </c>
      <c r="AV47" s="600">
        <f t="shared" si="32"/>
        <v>217060.16517234352</v>
      </c>
      <c r="AW47" s="600">
        <f t="shared" si="33"/>
        <v>0</v>
      </c>
      <c r="AX47" s="600">
        <f t="shared" si="34"/>
        <v>117547.76634044127</v>
      </c>
      <c r="AY47" s="600">
        <f t="shared" si="35"/>
        <v>2.3128101277349379E-13</v>
      </c>
      <c r="AZ47" s="600">
        <f t="shared" si="36"/>
        <v>217060.16517234352</v>
      </c>
      <c r="BA47" s="600">
        <f t="shared" si="37"/>
        <v>0</v>
      </c>
      <c r="BB47" s="600">
        <f t="shared" si="38"/>
        <v>0</v>
      </c>
      <c r="BC47" s="600">
        <f t="shared" si="39"/>
        <v>0</v>
      </c>
      <c r="BD47" s="600">
        <f t="shared" si="40"/>
        <v>0</v>
      </c>
      <c r="BE47" s="600">
        <f t="shared" si="41"/>
        <v>117547.76634044127</v>
      </c>
      <c r="BF47" s="600">
        <f t="shared" si="42"/>
        <v>217060.16517234352</v>
      </c>
      <c r="BG47" s="600">
        <v>0</v>
      </c>
      <c r="BH47" s="600">
        <v>0</v>
      </c>
      <c r="BI47" s="600">
        <f t="shared" si="43"/>
        <v>0</v>
      </c>
      <c r="BJ47" s="600">
        <f t="shared" si="44"/>
        <v>217060.17</v>
      </c>
      <c r="BK47" s="600">
        <f t="shared" si="45"/>
        <v>76253.237720999998</v>
      </c>
      <c r="BL47" s="600">
        <v>217060.17</v>
      </c>
      <c r="BM47" s="600">
        <f t="shared" si="46"/>
        <v>0</v>
      </c>
      <c r="BN47" s="600">
        <f t="shared" si="47"/>
        <v>0</v>
      </c>
      <c r="BO47" s="600">
        <f t="shared" si="48"/>
        <v>0</v>
      </c>
      <c r="BP47" s="600">
        <f t="shared" si="49"/>
        <v>76253.237720999998</v>
      </c>
      <c r="BQ47" s="600">
        <f t="shared" si="50"/>
        <v>0</v>
      </c>
      <c r="BR47" s="600">
        <f t="shared" si="51"/>
        <v>0</v>
      </c>
      <c r="BT47" s="606">
        <f t="shared" si="52"/>
        <v>1</v>
      </c>
      <c r="BU47" s="607">
        <f t="shared" si="53"/>
        <v>0</v>
      </c>
      <c r="BV47" s="606">
        <f t="shared" si="54"/>
        <v>1.0267377914087792</v>
      </c>
      <c r="BW47" s="607">
        <f t="shared" si="55"/>
        <v>0</v>
      </c>
      <c r="BX47" s="607">
        <f t="shared" si="56"/>
        <v>0</v>
      </c>
      <c r="BY47" s="607">
        <f t="shared" si="57"/>
        <v>0</v>
      </c>
      <c r="BZ47" s="607">
        <f t="shared" si="58"/>
        <v>0</v>
      </c>
      <c r="CA47" s="607">
        <f t="shared" si="59"/>
        <v>0</v>
      </c>
      <c r="CB47" s="607">
        <f t="shared" si="78"/>
        <v>0</v>
      </c>
      <c r="CC47" s="607">
        <f t="shared" si="60"/>
        <v>41294.530315397016</v>
      </c>
      <c r="CD47" s="607">
        <f t="shared" si="61"/>
        <v>117547.76634044127</v>
      </c>
      <c r="CE47" s="607">
        <f t="shared" si="62"/>
        <v>117547.76634044129</v>
      </c>
      <c r="CF47" s="607">
        <f t="shared" si="63"/>
        <v>56654.85</v>
      </c>
      <c r="CG47" s="607">
        <f t="shared" si="64"/>
        <v>0</v>
      </c>
      <c r="CH47" s="607">
        <f t="shared" si="65"/>
        <v>273715.02</v>
      </c>
      <c r="CI47" s="609"/>
      <c r="CK47" s="610" t="str">
        <f t="shared" si="79"/>
        <v/>
      </c>
      <c r="CL47" s="611" t="str">
        <f>IF(CK47="","",COUNTIFS($CK$16:CK47,"Yes")+MAX(State!AD:AD))</f>
        <v/>
      </c>
      <c r="CM47" s="612" t="b">
        <f>IF(C47="", "", AND(INDEX('Summary Dynamic'!$D$8:$D$10, MATCH(H47, 'Summary Dynamic'!$C$8:$C$10, 0))="Include", INDEX('Summary Dynamic'!$D$12:$D$14, MATCH(I47, 'Summary Dynamic'!$C$12:$C$14, 0))="Include", INDEX('Summary Dynamic'!$D$16:$D$17, MATCH(J47, 'Summary Dynamic'!$C$16:$C$17, 0))="Include", INDEX('Summary Dynamic'!$D$19:$D$20, MATCH(K47, 'Summary Dynamic'!$C$19:$C$20, 0))="Include", INDEX('Summary Dynamic'!$D$25:$D$26, MATCH(L47, 'Summary Dynamic'!$C$25:$C$26, 0))="Include",'Summary Dynamic'!$D$23="Include"))</f>
        <v>1</v>
      </c>
      <c r="CN47" s="613">
        <f>IFERROR(IF(CM47=TRUE, COUNTIFS($CM$16:CM47, TRUE), ""), "")</f>
        <v>32</v>
      </c>
      <c r="CP47" s="614" t="str">
        <f t="shared" si="66"/>
        <v>Rural Private</v>
      </c>
      <c r="CY47" s="615"/>
      <c r="CZ47" s="616"/>
    </row>
    <row r="48" spans="2:104" x14ac:dyDescent="0.25">
      <c r="B48" s="617">
        <f t="shared" si="67"/>
        <v>33</v>
      </c>
      <c r="C48" s="593" t="s">
        <v>59</v>
      </c>
      <c r="D48" s="594" t="s">
        <v>59</v>
      </c>
      <c r="E48" s="594" t="s">
        <v>569</v>
      </c>
      <c r="F48" s="407" t="s">
        <v>60</v>
      </c>
      <c r="G48" s="408" t="s">
        <v>560</v>
      </c>
      <c r="H48" s="408" t="s">
        <v>22</v>
      </c>
      <c r="I48" s="408" t="s">
        <v>26</v>
      </c>
      <c r="J48" s="408" t="s">
        <v>35</v>
      </c>
      <c r="K48" s="408" t="s">
        <v>35</v>
      </c>
      <c r="L48" s="408" t="s">
        <v>35</v>
      </c>
      <c r="M48" s="408" t="s">
        <v>37</v>
      </c>
      <c r="N48" s="595" t="str">
        <f t="shared" ref="N48:N79" si="84">IFERROR(IF(I48="Public",IF(J48="Rural","Yes","No"),IF(J48="","","No")),"")</f>
        <v>No</v>
      </c>
      <c r="O48" s="596">
        <v>11219</v>
      </c>
      <c r="P48" s="596">
        <v>96013</v>
      </c>
      <c r="Q48" s="597">
        <v>0.18861075876793121</v>
      </c>
      <c r="R48" s="596">
        <f t="shared" si="68"/>
        <v>18109.084781585378</v>
      </c>
      <c r="S48" s="596">
        <f t="shared" si="69"/>
        <v>29328.084781585378</v>
      </c>
      <c r="T48" s="596">
        <f t="shared" ref="T48:T79" si="85">IFERROR(IF(AND(H48="All Others",I48="Public"),S48*Non_TH_Hold_Harmless_Days_Adj,S48),"")</f>
        <v>29328.084781585378</v>
      </c>
      <c r="U48" s="598">
        <f t="shared" si="70"/>
        <v>6.8613734248921037E-3</v>
      </c>
      <c r="V48" s="599">
        <f t="shared" si="80"/>
        <v>0</v>
      </c>
      <c r="W48" s="600">
        <v>30231162.065716267</v>
      </c>
      <c r="X48" s="600">
        <v>0</v>
      </c>
      <c r="Y48" s="600">
        <v>36119983.978352062</v>
      </c>
      <c r="Z48" s="600">
        <f t="shared" si="71"/>
        <v>0</v>
      </c>
      <c r="AA48" s="600">
        <f t="shared" si="72"/>
        <v>30231162.065716267</v>
      </c>
      <c r="AB48" s="601">
        <f t="shared" ref="AB48:AB79" si="86">IF(C48="","",IF(H48="Class 1 (TH)",W48/SUMIF(H:H,"Class 1 (TH)",W:W),0))</f>
        <v>0</v>
      </c>
      <c r="AC48" s="599">
        <v>0</v>
      </c>
      <c r="AD48" s="599">
        <f>MAX(IF(M48="Yes",'Assumption Inputs'!$C$40,'Assumption Inputs'!$C$41),AC48)</f>
        <v>8000000</v>
      </c>
      <c r="AE48" s="599">
        <f t="shared" si="81"/>
        <v>8000000</v>
      </c>
      <c r="AF48" s="599">
        <f t="shared" ref="AF48:AF79" si="87">IFERROR(IF(C48="","",IF(I48="Public",AE48/Federal_Match_Rate*State_Match_Rate,0)),0)</f>
        <v>0</v>
      </c>
      <c r="AG48" s="599">
        <f t="shared" si="82"/>
        <v>0</v>
      </c>
      <c r="AH48" s="599">
        <f t="shared" si="83"/>
        <v>8000000</v>
      </c>
      <c r="AI48" s="599">
        <v>98665073.819668859</v>
      </c>
      <c r="AJ48" s="599">
        <v>76433911.753952593</v>
      </c>
      <c r="AK48" s="602">
        <f t="shared" si="74"/>
        <v>0.77468053075855003</v>
      </c>
      <c r="AL48" s="603">
        <f t="shared" si="25"/>
        <v>0</v>
      </c>
      <c r="AM48" s="600">
        <f t="shared" si="75"/>
        <v>8000000</v>
      </c>
      <c r="AN48" s="600">
        <f t="shared" ref="AN48:AN79" si="88">IF(L48="","",MAX(MIN(AM48,AA48),0))</f>
        <v>8000000</v>
      </c>
      <c r="AO48" s="600">
        <f t="shared" si="27"/>
        <v>0</v>
      </c>
      <c r="AP48" s="600">
        <f t="shared" si="28"/>
        <v>22231162.065716267</v>
      </c>
      <c r="AQ48" s="600">
        <f t="shared" si="76"/>
        <v>0</v>
      </c>
      <c r="AR48" s="600">
        <f t="shared" si="77"/>
        <v>8000000</v>
      </c>
      <c r="AS48" s="604">
        <f t="shared" ref="AS48:AS79" si="89">IFERROR(IF(C48="","",IF(I48="Public",AR48/Federal_Match_Rate*State_Match_Rate,0)),0)</f>
        <v>0</v>
      </c>
      <c r="AT48" s="605">
        <f t="shared" ref="AT48:AT79" si="90">IF(C48="","",($AR$7/Federal_Match_Rate*State_Match_Rate)*AB48)</f>
        <v>0</v>
      </c>
      <c r="AU48" s="600">
        <f t="shared" ref="AU48:AU79" si="91">IF(C48="","",AR48+AS48+AT48)</f>
        <v>8000000</v>
      </c>
      <c r="AV48" s="600">
        <f t="shared" ref="AV48:AV79" si="92">IF(C48="","",MAX(MIN(AU48,AA48),0))</f>
        <v>8000000</v>
      </c>
      <c r="AW48" s="600">
        <f t="shared" ref="AW48:AW79" si="93">IF(C48="","",AU48-AV48)</f>
        <v>0</v>
      </c>
      <c r="AX48" s="600">
        <f t="shared" ref="AX48:AX79" si="94">IF(C48="","",MAX(AA48-AV48,0))</f>
        <v>22231162.065716267</v>
      </c>
      <c r="AY48" s="600">
        <f t="shared" ref="AY48:AY79" si="95">IF(C48="","",AX48/$AX$9*$AW$9)</f>
        <v>4.3740904976444424E-11</v>
      </c>
      <c r="AZ48" s="600">
        <f t="shared" ref="AZ48:AZ79" si="96">IF(C48="","",AV48+AY48)</f>
        <v>8000000</v>
      </c>
      <c r="BA48" s="600">
        <f t="shared" ref="BA48:BA79" si="97">IF(C48="","",IF(OR(I48="Public",I48= "State"),(AW48*State_Match_Rate)*-1,0))</f>
        <v>0</v>
      </c>
      <c r="BB48" s="600">
        <f t="shared" ref="BB48:BB79" si="98">IF(C48="","",IF(OR(I48="Public",I48= "State"),AY48*State_Match_Rate,0))</f>
        <v>0</v>
      </c>
      <c r="BC48" s="600">
        <f t="shared" ref="BC48:BC79" si="99">IF(C48="","",AB48*$AY$3*State_Match_Rate)</f>
        <v>0</v>
      </c>
      <c r="BD48" s="600">
        <f t="shared" ref="BD48:BD79" si="100">IF(C48="","",AS48+AT48+BB48+BC48+BA48)</f>
        <v>0</v>
      </c>
      <c r="BE48" s="600">
        <f t="shared" ref="BE48:BE79" si="101">IF(C48="","",MAX(AA48-AZ48,0))</f>
        <v>22231162.065716267</v>
      </c>
      <c r="BF48" s="600">
        <f t="shared" ref="BF48:BF79" si="102">IF(C48="","",AZ48-BD48)</f>
        <v>8000000</v>
      </c>
      <c r="BG48" s="600">
        <v>0</v>
      </c>
      <c r="BH48" s="600">
        <v>0</v>
      </c>
      <c r="BI48" s="600">
        <f t="shared" ref="BI48:BI79" si="103">IF(C48="","",0)</f>
        <v>0</v>
      </c>
      <c r="BJ48" s="600">
        <f t="shared" ref="BJ48:BJ79" si="104">IF(C48="","",ROUND(AZ48-BG48,2))</f>
        <v>8000000</v>
      </c>
      <c r="BK48" s="600">
        <f t="shared" ref="BK48:BK79" si="105">IF(C48="","",BJ48*State_Match_Rate)</f>
        <v>2810399.9999999995</v>
      </c>
      <c r="BL48" s="600">
        <v>8000000</v>
      </c>
      <c r="BM48" s="600">
        <f t="shared" ref="BM48:BM79" si="106">IF(C48="","",IF(AND(I48="Private",BJ48&lt;0),(BJ48*-1)*State_Match_Rate,0))</f>
        <v>0</v>
      </c>
      <c r="BN48" s="600">
        <f t="shared" ref="BN48:BN79" si="107">IF(C48="","",AB48*$BN$3)</f>
        <v>0</v>
      </c>
      <c r="BO48" s="600">
        <f t="shared" ref="BO48:BO79" si="108">IF(C48="","",ROUND((BD48-BH48)+BN48,2))</f>
        <v>0</v>
      </c>
      <c r="BP48" s="600">
        <f t="shared" ref="BP48:BP79" si="109">IF(C48="","",BL48*State_Match_Rate)</f>
        <v>2810399.9999999995</v>
      </c>
      <c r="BQ48" s="600">
        <f t="shared" ref="BQ48:BQ79" si="110">IF(C48="","",AB48*$BR$3)</f>
        <v>0</v>
      </c>
      <c r="BR48" s="600">
        <f t="shared" ref="BR48:BR79" si="111">IF(C48="","",ROUND(IF(H48="Class 1 (TH)",BP48+BQ48,IF(AND(I48="Public",H48&lt;&gt;"Class 1 (TH)"),BP48,IF(I48="State",BP48,0))),2))</f>
        <v>0</v>
      </c>
      <c r="BT48" s="606">
        <f t="shared" ref="BT48:BT79" si="112">IF(AND(J48="Rural",I48="Public"),(AJ48+BL48+BG48)/AI48,1)</f>
        <v>1</v>
      </c>
      <c r="BU48" s="607">
        <f t="shared" ref="BU48:BU79" si="113">IF(AND(I48="Public",J48="Rural"),IF(BT48&gt;$BU$3,0,AI48*$BU$3-(AJ48+BL48+BG48)),0)</f>
        <v>0</v>
      </c>
      <c r="BV48" s="606">
        <f t="shared" ref="BV48:BV79" si="114">IFERROR(IF(AND(J48="Rural",I48="Private"),(AJ48+BL48+BG48)/AI48,1),"")</f>
        <v>1</v>
      </c>
      <c r="BW48" s="607">
        <f t="shared" ref="BW48:BW79" si="115">IF(AND(I48="Private",J48="Rural"),IF(BV48&gt;=$BW$3,0,AI48*$BW$3-(AJ48+BL48+BG48)),0)</f>
        <v>0</v>
      </c>
      <c r="BX48" s="607">
        <f t="shared" ref="BX48:BX79" si="116">IF(C48="","",IF(AND(J48="Rural",I48="Public"),BE48*State_Match_Rate,0))</f>
        <v>0</v>
      </c>
      <c r="BY48" s="607">
        <f t="shared" ref="BY48:BY79" si="117">IF(C48="","",IF(AND(J48="Rural",I48="Public"),BE48,0))</f>
        <v>0</v>
      </c>
      <c r="BZ48" s="607">
        <f t="shared" ref="BZ48:BZ79" si="118">IF(C48="","",BX48/State_Match_Rate)</f>
        <v>0</v>
      </c>
      <c r="CA48" s="607">
        <f t="shared" ref="CA48:CA79" si="119">IFERROR(IF(C48="","",IF(BZ41&lt;Pass_3_Set_Aside,BZ48,ROUND((BZ48/$BZ$9)*(Pass_3_Set_Aside),2))),0)</f>
        <v>0</v>
      </c>
      <c r="CB48" s="607">
        <f t="shared" si="78"/>
        <v>0</v>
      </c>
      <c r="CC48" s="607">
        <f t="shared" ref="CC48:CC79" si="120">IF(C48="","",IF(AND(J48="Rural",I48="Private"),BE48*State_Match_Rate,0))</f>
        <v>0</v>
      </c>
      <c r="CD48" s="607">
        <f t="shared" ref="CD48:CD79" si="121">IF(C48="","",IF(AND(J48="Rural",I48="Private"),BE48,0))</f>
        <v>0</v>
      </c>
      <c r="CE48" s="607">
        <f t="shared" ref="CE48:CE79" si="122">IF(C48="","",CC48/State_Match_Rate)</f>
        <v>0</v>
      </c>
      <c r="CF48" s="607">
        <f t="shared" ref="CF48:CF79" si="123">ROUND((CE48/$CE$9)*((Pass_3_Set_Aside)-$CA$9)*$CF$4*Federal_Match_Rate,2)</f>
        <v>0</v>
      </c>
      <c r="CG48" s="607">
        <f t="shared" ref="CG48:CG79" si="124">($CF$9/Federal_Match_Rate*State_Match_Rate)*AB48</f>
        <v>0</v>
      </c>
      <c r="CH48" s="607">
        <f t="shared" ref="CH48:CH79" si="125">IF(C48="","",CA48+BL48+BG48+CF48+CG48)</f>
        <v>8000000</v>
      </c>
      <c r="CI48" s="609"/>
      <c r="CK48" s="610" t="str">
        <f t="shared" si="79"/>
        <v/>
      </c>
      <c r="CL48" s="611" t="str">
        <f>IF(CK48="","",COUNTIFS($CK$16:CK48,"Yes")+MAX(State!AD:AD))</f>
        <v/>
      </c>
      <c r="CM48" s="612" t="b">
        <f>IF(C48="", "", AND(INDEX('Summary Dynamic'!$D$8:$D$10, MATCH(H48, 'Summary Dynamic'!$C$8:$C$10, 0))="Include", INDEX('Summary Dynamic'!$D$12:$D$14, MATCH(I48, 'Summary Dynamic'!$C$12:$C$14, 0))="Include", INDEX('Summary Dynamic'!$D$16:$D$17, MATCH(J48, 'Summary Dynamic'!$C$16:$C$17, 0))="Include", INDEX('Summary Dynamic'!$D$19:$D$20, MATCH(K48, 'Summary Dynamic'!$C$19:$C$20, 0))="Include", INDEX('Summary Dynamic'!$D$25:$D$26, MATCH(L48, 'Summary Dynamic'!$C$25:$C$26, 0))="Include",'Summary Dynamic'!$D$23="Include"))</f>
        <v>1</v>
      </c>
      <c r="CN48" s="613">
        <f>IFERROR(IF(CM48=TRUE, COUNTIFS($CM$16:CM48, TRUE), ""), "")</f>
        <v>33</v>
      </c>
      <c r="CP48" s="614" t="str">
        <f t="shared" ref="CP48:CP79" si="126">IF(H48="Class 1 (TH)","Urban Public Class 1",IF(AND(OR(H48="Class 2", H48="All Others"),I48="Public",J48="Rural"),"Rural Public",IF(AND(OR(H48="Class 2",H48="All Others"),I48="Public",J48="no"),"Non-Rural Public",IF(AND(I48="Private",K48="Yes"),"Children's Hospital",IF(AND(I48="Private",J48="Rural"),"Rural Private",IF(AND(I48="Private",K48="No"),"Non-Rural Private",0))))))</f>
        <v>Non-Rural Private</v>
      </c>
      <c r="CY48" s="615"/>
      <c r="CZ48" s="616"/>
    </row>
    <row r="49" spans="2:104" x14ac:dyDescent="0.25">
      <c r="B49" s="617">
        <f t="shared" si="67"/>
        <v>34</v>
      </c>
      <c r="C49" s="593" t="s">
        <v>570</v>
      </c>
      <c r="D49" s="594" t="s">
        <v>570</v>
      </c>
      <c r="E49" s="594" t="s">
        <v>571</v>
      </c>
      <c r="F49" s="407" t="s">
        <v>572</v>
      </c>
      <c r="G49" s="408" t="s">
        <v>485</v>
      </c>
      <c r="H49" s="408" t="s">
        <v>22</v>
      </c>
      <c r="I49" s="408" t="s">
        <v>26</v>
      </c>
      <c r="J49" s="408" t="s">
        <v>35</v>
      </c>
      <c r="K49" s="408" t="s">
        <v>35</v>
      </c>
      <c r="L49" s="408" t="s">
        <v>35</v>
      </c>
      <c r="M49" s="408" t="s">
        <v>37</v>
      </c>
      <c r="N49" s="595" t="str">
        <f t="shared" si="84"/>
        <v>No</v>
      </c>
      <c r="O49" s="596">
        <v>33568</v>
      </c>
      <c r="P49" s="596">
        <v>223690</v>
      </c>
      <c r="Q49" s="597">
        <v>0.10586839467439157</v>
      </c>
      <c r="R49" s="596">
        <f t="shared" si="68"/>
        <v>23681.701204714653</v>
      </c>
      <c r="S49" s="596">
        <f t="shared" si="69"/>
        <v>57249.701204714656</v>
      </c>
      <c r="T49" s="596">
        <f t="shared" si="85"/>
        <v>57249.701204714656</v>
      </c>
      <c r="U49" s="598">
        <f t="shared" si="70"/>
        <v>1.3393700316758583E-2</v>
      </c>
      <c r="V49" s="599">
        <f t="shared" si="80"/>
        <v>0</v>
      </c>
      <c r="W49" s="600">
        <v>43686629.574300818</v>
      </c>
      <c r="X49" s="600">
        <v>0</v>
      </c>
      <c r="Y49" s="600">
        <v>15837433.630905531</v>
      </c>
      <c r="Z49" s="600">
        <f t="shared" si="71"/>
        <v>0</v>
      </c>
      <c r="AA49" s="600">
        <f t="shared" si="72"/>
        <v>43686629.574300818</v>
      </c>
      <c r="AB49" s="601">
        <f t="shared" si="86"/>
        <v>0</v>
      </c>
      <c r="AC49" s="599">
        <v>0</v>
      </c>
      <c r="AD49" s="599">
        <f>MAX(IF(M49="Yes",'Assumption Inputs'!$C$40,'Assumption Inputs'!$C$41),AC49)</f>
        <v>8000000</v>
      </c>
      <c r="AE49" s="599">
        <f t="shared" si="81"/>
        <v>8000000</v>
      </c>
      <c r="AF49" s="599">
        <f t="shared" si="87"/>
        <v>0</v>
      </c>
      <c r="AG49" s="599">
        <f t="shared" si="82"/>
        <v>0</v>
      </c>
      <c r="AH49" s="599">
        <f t="shared" si="83"/>
        <v>8000000</v>
      </c>
      <c r="AI49" s="599">
        <v>173834897.34028777</v>
      </c>
      <c r="AJ49" s="599">
        <v>138148267.76598698</v>
      </c>
      <c r="AK49" s="602">
        <f t="shared" si="74"/>
        <v>0.79470963471481226</v>
      </c>
      <c r="AL49" s="603">
        <f t="shared" si="25"/>
        <v>0</v>
      </c>
      <c r="AM49" s="600">
        <f t="shared" si="75"/>
        <v>8000000</v>
      </c>
      <c r="AN49" s="600">
        <f t="shared" si="88"/>
        <v>8000000</v>
      </c>
      <c r="AO49" s="600">
        <f t="shared" si="27"/>
        <v>0</v>
      </c>
      <c r="AP49" s="600">
        <f t="shared" si="28"/>
        <v>35686629.574300818</v>
      </c>
      <c r="AQ49" s="600">
        <f t="shared" si="76"/>
        <v>0</v>
      </c>
      <c r="AR49" s="600">
        <f t="shared" si="77"/>
        <v>8000000</v>
      </c>
      <c r="AS49" s="604">
        <f t="shared" si="89"/>
        <v>0</v>
      </c>
      <c r="AT49" s="605">
        <f t="shared" si="90"/>
        <v>0</v>
      </c>
      <c r="AU49" s="600">
        <f t="shared" si="91"/>
        <v>8000000</v>
      </c>
      <c r="AV49" s="600">
        <f t="shared" si="92"/>
        <v>8000000</v>
      </c>
      <c r="AW49" s="600">
        <f t="shared" si="93"/>
        <v>0</v>
      </c>
      <c r="AX49" s="600">
        <f t="shared" si="94"/>
        <v>35686629.574300818</v>
      </c>
      <c r="AY49" s="600">
        <f t="shared" si="95"/>
        <v>7.0215199211124583E-11</v>
      </c>
      <c r="AZ49" s="600">
        <f t="shared" si="96"/>
        <v>8000000</v>
      </c>
      <c r="BA49" s="600">
        <f t="shared" si="97"/>
        <v>0</v>
      </c>
      <c r="BB49" s="600">
        <f t="shared" si="98"/>
        <v>0</v>
      </c>
      <c r="BC49" s="600">
        <f t="shared" si="99"/>
        <v>0</v>
      </c>
      <c r="BD49" s="600">
        <f t="shared" si="100"/>
        <v>0</v>
      </c>
      <c r="BE49" s="600">
        <f t="shared" si="101"/>
        <v>35686629.574300818</v>
      </c>
      <c r="BF49" s="600">
        <f t="shared" si="102"/>
        <v>8000000</v>
      </c>
      <c r="BG49" s="600">
        <v>0</v>
      </c>
      <c r="BH49" s="600">
        <v>0</v>
      </c>
      <c r="BI49" s="600">
        <f t="shared" si="103"/>
        <v>0</v>
      </c>
      <c r="BJ49" s="600">
        <f t="shared" si="104"/>
        <v>8000000</v>
      </c>
      <c r="BK49" s="600">
        <f t="shared" si="105"/>
        <v>2810399.9999999995</v>
      </c>
      <c r="BL49" s="600">
        <v>8000000</v>
      </c>
      <c r="BM49" s="600">
        <f t="shared" si="106"/>
        <v>0</v>
      </c>
      <c r="BN49" s="600">
        <f t="shared" si="107"/>
        <v>0</v>
      </c>
      <c r="BO49" s="600">
        <f t="shared" si="108"/>
        <v>0</v>
      </c>
      <c r="BP49" s="600">
        <f t="shared" si="109"/>
        <v>2810399.9999999995</v>
      </c>
      <c r="BQ49" s="600">
        <f t="shared" si="110"/>
        <v>0</v>
      </c>
      <c r="BR49" s="600">
        <f t="shared" si="111"/>
        <v>0</v>
      </c>
      <c r="BT49" s="606">
        <f t="shared" si="112"/>
        <v>1</v>
      </c>
      <c r="BU49" s="607">
        <f t="shared" si="113"/>
        <v>0</v>
      </c>
      <c r="BV49" s="606">
        <f t="shared" si="114"/>
        <v>1</v>
      </c>
      <c r="BW49" s="607">
        <f t="shared" si="115"/>
        <v>0</v>
      </c>
      <c r="BX49" s="607">
        <f t="shared" si="116"/>
        <v>0</v>
      </c>
      <c r="BY49" s="607">
        <f t="shared" si="117"/>
        <v>0</v>
      </c>
      <c r="BZ49" s="607">
        <f t="shared" si="118"/>
        <v>0</v>
      </c>
      <c r="CA49" s="607">
        <f t="shared" si="119"/>
        <v>0</v>
      </c>
      <c r="CB49" s="607">
        <f t="shared" si="78"/>
        <v>0</v>
      </c>
      <c r="CC49" s="607">
        <f t="shared" si="120"/>
        <v>0</v>
      </c>
      <c r="CD49" s="607">
        <f t="shared" si="121"/>
        <v>0</v>
      </c>
      <c r="CE49" s="607">
        <f t="shared" si="122"/>
        <v>0</v>
      </c>
      <c r="CF49" s="607">
        <f t="shared" si="123"/>
        <v>0</v>
      </c>
      <c r="CG49" s="607">
        <f t="shared" si="124"/>
        <v>0</v>
      </c>
      <c r="CH49" s="607">
        <f t="shared" si="125"/>
        <v>8000000</v>
      </c>
      <c r="CI49" s="609"/>
      <c r="CK49" s="610" t="str">
        <f t="shared" si="79"/>
        <v/>
      </c>
      <c r="CL49" s="611" t="str">
        <f>IF(CK49="","",COUNTIFS($CK$16:CK49,"Yes")+MAX(State!AD:AD))</f>
        <v/>
      </c>
      <c r="CM49" s="612" t="b">
        <f>IF(C49="", "", AND(INDEX('Summary Dynamic'!$D$8:$D$10, MATCH(H49, 'Summary Dynamic'!$C$8:$C$10, 0))="Include", INDEX('Summary Dynamic'!$D$12:$D$14, MATCH(I49, 'Summary Dynamic'!$C$12:$C$14, 0))="Include", INDEX('Summary Dynamic'!$D$16:$D$17, MATCH(J49, 'Summary Dynamic'!$C$16:$C$17, 0))="Include", INDEX('Summary Dynamic'!$D$19:$D$20, MATCH(K49, 'Summary Dynamic'!$C$19:$C$20, 0))="Include", INDEX('Summary Dynamic'!$D$25:$D$26, MATCH(L49, 'Summary Dynamic'!$C$25:$C$26, 0))="Include",'Summary Dynamic'!$D$23="Include"))</f>
        <v>1</v>
      </c>
      <c r="CN49" s="613">
        <f>IFERROR(IF(CM49=TRUE, COUNTIFS($CM$16:CM49, TRUE), ""), "")</f>
        <v>34</v>
      </c>
      <c r="CP49" s="614" t="str">
        <f t="shared" si="126"/>
        <v>Non-Rural Private</v>
      </c>
      <c r="CY49" s="615"/>
      <c r="CZ49" s="616"/>
    </row>
    <row r="50" spans="2:104" x14ac:dyDescent="0.25">
      <c r="B50" s="617">
        <f t="shared" si="67"/>
        <v>35</v>
      </c>
      <c r="C50" s="593" t="s">
        <v>573</v>
      </c>
      <c r="D50" s="594" t="s">
        <v>573</v>
      </c>
      <c r="E50" s="594" t="s">
        <v>574</v>
      </c>
      <c r="F50" s="407" t="s">
        <v>575</v>
      </c>
      <c r="G50" s="408" t="s">
        <v>516</v>
      </c>
      <c r="H50" s="408" t="s">
        <v>22</v>
      </c>
      <c r="I50" s="408" t="s">
        <v>26</v>
      </c>
      <c r="J50" s="408" t="s">
        <v>35</v>
      </c>
      <c r="K50" s="408" t="s">
        <v>35</v>
      </c>
      <c r="L50" s="408" t="s">
        <v>35</v>
      </c>
      <c r="M50" s="408" t="s">
        <v>35</v>
      </c>
      <c r="N50" s="595" t="str">
        <f t="shared" si="84"/>
        <v>No</v>
      </c>
      <c r="O50" s="596">
        <v>11724</v>
      </c>
      <c r="P50" s="596">
        <v>47125</v>
      </c>
      <c r="Q50" s="597">
        <v>0.22215727606555097</v>
      </c>
      <c r="R50" s="596">
        <f t="shared" si="68"/>
        <v>10469.161634589089</v>
      </c>
      <c r="S50" s="596">
        <f t="shared" si="69"/>
        <v>22193.161634589087</v>
      </c>
      <c r="T50" s="596">
        <f t="shared" si="85"/>
        <v>22193.161634589087</v>
      </c>
      <c r="U50" s="598">
        <f t="shared" si="70"/>
        <v>5.1921416140175607E-3</v>
      </c>
      <c r="V50" s="599">
        <f t="shared" si="80"/>
        <v>0</v>
      </c>
      <c r="W50" s="600">
        <v>14381005.631214879</v>
      </c>
      <c r="X50" s="600">
        <v>0</v>
      </c>
      <c r="Y50" s="600">
        <v>6576003.0875602998</v>
      </c>
      <c r="Z50" s="600">
        <f t="shared" si="71"/>
        <v>0</v>
      </c>
      <c r="AA50" s="600">
        <f t="shared" si="72"/>
        <v>14381005.631214879</v>
      </c>
      <c r="AB50" s="601">
        <f t="shared" si="86"/>
        <v>0</v>
      </c>
      <c r="AC50" s="599">
        <v>0</v>
      </c>
      <c r="AD50" s="599">
        <f>MAX(IF(M50="Yes",'Assumption Inputs'!$C$40,'Assumption Inputs'!$C$41),AC50)</f>
        <v>6000000</v>
      </c>
      <c r="AE50" s="599">
        <f t="shared" si="81"/>
        <v>6000000</v>
      </c>
      <c r="AF50" s="599">
        <f t="shared" si="87"/>
        <v>0</v>
      </c>
      <c r="AG50" s="599">
        <f t="shared" si="82"/>
        <v>0</v>
      </c>
      <c r="AH50" s="599">
        <f t="shared" si="83"/>
        <v>6000000</v>
      </c>
      <c r="AI50" s="599">
        <v>60980863.704948314</v>
      </c>
      <c r="AJ50" s="599">
        <v>52599858.073733427</v>
      </c>
      <c r="AK50" s="602">
        <f t="shared" si="74"/>
        <v>0.86256334984421013</v>
      </c>
      <c r="AL50" s="603">
        <f t="shared" si="25"/>
        <v>0</v>
      </c>
      <c r="AM50" s="600">
        <f t="shared" si="75"/>
        <v>6000000</v>
      </c>
      <c r="AN50" s="600">
        <f t="shared" si="88"/>
        <v>6000000</v>
      </c>
      <c r="AO50" s="600">
        <f t="shared" si="27"/>
        <v>0</v>
      </c>
      <c r="AP50" s="600">
        <f t="shared" si="28"/>
        <v>8381005.6312148795</v>
      </c>
      <c r="AQ50" s="600">
        <f t="shared" si="76"/>
        <v>0</v>
      </c>
      <c r="AR50" s="600">
        <f t="shared" si="77"/>
        <v>6000000</v>
      </c>
      <c r="AS50" s="604">
        <f t="shared" si="89"/>
        <v>0</v>
      </c>
      <c r="AT50" s="605">
        <f t="shared" si="90"/>
        <v>0</v>
      </c>
      <c r="AU50" s="600">
        <f t="shared" si="91"/>
        <v>6000000</v>
      </c>
      <c r="AV50" s="600">
        <f t="shared" si="92"/>
        <v>6000000</v>
      </c>
      <c r="AW50" s="600">
        <f t="shared" si="93"/>
        <v>0</v>
      </c>
      <c r="AX50" s="600">
        <f t="shared" si="94"/>
        <v>8381005.6312148795</v>
      </c>
      <c r="AY50" s="600">
        <f t="shared" si="95"/>
        <v>1.6490040864186573E-11</v>
      </c>
      <c r="AZ50" s="600">
        <f t="shared" si="96"/>
        <v>6000000</v>
      </c>
      <c r="BA50" s="600">
        <f t="shared" si="97"/>
        <v>0</v>
      </c>
      <c r="BB50" s="600">
        <f t="shared" si="98"/>
        <v>0</v>
      </c>
      <c r="BC50" s="600">
        <f t="shared" si="99"/>
        <v>0</v>
      </c>
      <c r="BD50" s="600">
        <f t="shared" si="100"/>
        <v>0</v>
      </c>
      <c r="BE50" s="600">
        <f t="shared" si="101"/>
        <v>8381005.6312148795</v>
      </c>
      <c r="BF50" s="600">
        <f t="shared" si="102"/>
        <v>6000000</v>
      </c>
      <c r="BG50" s="600">
        <v>0</v>
      </c>
      <c r="BH50" s="600">
        <v>0</v>
      </c>
      <c r="BI50" s="600">
        <f t="shared" si="103"/>
        <v>0</v>
      </c>
      <c r="BJ50" s="600">
        <f t="shared" si="104"/>
        <v>6000000</v>
      </c>
      <c r="BK50" s="600">
        <f t="shared" si="105"/>
        <v>2107799.9999999995</v>
      </c>
      <c r="BL50" s="600">
        <v>6000000</v>
      </c>
      <c r="BM50" s="600">
        <f t="shared" si="106"/>
        <v>0</v>
      </c>
      <c r="BN50" s="600">
        <f t="shared" si="107"/>
        <v>0</v>
      </c>
      <c r="BO50" s="600">
        <f t="shared" si="108"/>
        <v>0</v>
      </c>
      <c r="BP50" s="600">
        <f t="shared" si="109"/>
        <v>2107799.9999999995</v>
      </c>
      <c r="BQ50" s="600">
        <f t="shared" si="110"/>
        <v>0</v>
      </c>
      <c r="BR50" s="600">
        <f t="shared" si="111"/>
        <v>0</v>
      </c>
      <c r="BT50" s="606">
        <f t="shared" si="112"/>
        <v>1</v>
      </c>
      <c r="BU50" s="607">
        <f t="shared" si="113"/>
        <v>0</v>
      </c>
      <c r="BV50" s="606">
        <f t="shared" si="114"/>
        <v>1</v>
      </c>
      <c r="BW50" s="607">
        <f t="shared" si="115"/>
        <v>0</v>
      </c>
      <c r="BX50" s="607">
        <f t="shared" si="116"/>
        <v>0</v>
      </c>
      <c r="BY50" s="607">
        <f t="shared" si="117"/>
        <v>0</v>
      </c>
      <c r="BZ50" s="607">
        <f t="shared" si="118"/>
        <v>0</v>
      </c>
      <c r="CA50" s="607">
        <f t="shared" si="119"/>
        <v>0</v>
      </c>
      <c r="CB50" s="607">
        <f t="shared" si="78"/>
        <v>0</v>
      </c>
      <c r="CC50" s="607">
        <f t="shared" si="120"/>
        <v>0</v>
      </c>
      <c r="CD50" s="607">
        <f t="shared" si="121"/>
        <v>0</v>
      </c>
      <c r="CE50" s="607">
        <f t="shared" si="122"/>
        <v>0</v>
      </c>
      <c r="CF50" s="607">
        <f t="shared" si="123"/>
        <v>0</v>
      </c>
      <c r="CG50" s="607">
        <f t="shared" si="124"/>
        <v>0</v>
      </c>
      <c r="CH50" s="607">
        <f t="shared" si="125"/>
        <v>6000000</v>
      </c>
      <c r="CI50" s="609"/>
      <c r="CK50" s="610" t="str">
        <f t="shared" si="79"/>
        <v/>
      </c>
      <c r="CL50" s="611" t="str">
        <f>IF(CK50="","",COUNTIFS($CK$16:CK50,"Yes")+MAX(State!AD:AD))</f>
        <v/>
      </c>
      <c r="CM50" s="612" t="b">
        <f>IF(C50="", "", AND(INDEX('Summary Dynamic'!$D$8:$D$10, MATCH(H50, 'Summary Dynamic'!$C$8:$C$10, 0))="Include", INDEX('Summary Dynamic'!$D$12:$D$14, MATCH(I50, 'Summary Dynamic'!$C$12:$C$14, 0))="Include", INDEX('Summary Dynamic'!$D$16:$D$17, MATCH(J50, 'Summary Dynamic'!$C$16:$C$17, 0))="Include", INDEX('Summary Dynamic'!$D$19:$D$20, MATCH(K50, 'Summary Dynamic'!$C$19:$C$20, 0))="Include", INDEX('Summary Dynamic'!$D$25:$D$26, MATCH(L50, 'Summary Dynamic'!$C$25:$C$26, 0))="Include",'Summary Dynamic'!$D$23="Include"))</f>
        <v>1</v>
      </c>
      <c r="CN50" s="613">
        <f>IFERROR(IF(CM50=TRUE, COUNTIFS($CM$16:CM50, TRUE), ""), "")</f>
        <v>35</v>
      </c>
      <c r="CP50" s="614" t="str">
        <f t="shared" si="126"/>
        <v>Non-Rural Private</v>
      </c>
      <c r="CY50" s="615"/>
      <c r="CZ50" s="616"/>
    </row>
    <row r="51" spans="2:104" x14ac:dyDescent="0.25">
      <c r="B51" s="617">
        <f t="shared" si="67"/>
        <v>36</v>
      </c>
      <c r="C51" s="593" t="s">
        <v>576</v>
      </c>
      <c r="D51" s="594" t="s">
        <v>576</v>
      </c>
      <c r="E51" s="594" t="s">
        <v>577</v>
      </c>
      <c r="F51" s="407" t="s">
        <v>578</v>
      </c>
      <c r="G51" s="408" t="s">
        <v>579</v>
      </c>
      <c r="H51" s="408" t="s">
        <v>22</v>
      </c>
      <c r="I51" s="408" t="s">
        <v>28</v>
      </c>
      <c r="J51" s="408" t="s">
        <v>35</v>
      </c>
      <c r="K51" s="408" t="s">
        <v>35</v>
      </c>
      <c r="L51" s="408" t="s">
        <v>35</v>
      </c>
      <c r="M51" s="408" t="s">
        <v>35</v>
      </c>
      <c r="N51" s="595" t="str">
        <f t="shared" si="84"/>
        <v>No</v>
      </c>
      <c r="O51" s="596">
        <v>386</v>
      </c>
      <c r="P51" s="596">
        <v>2549</v>
      </c>
      <c r="Q51" s="597">
        <v>0</v>
      </c>
      <c r="R51" s="596">
        <f t="shared" si="68"/>
        <v>0</v>
      </c>
      <c r="S51" s="596">
        <f t="shared" si="69"/>
        <v>386</v>
      </c>
      <c r="T51" s="596">
        <f t="shared" si="85"/>
        <v>521.60180000000003</v>
      </c>
      <c r="U51" s="598">
        <f t="shared" si="70"/>
        <v>1.2202995032062312E-4</v>
      </c>
      <c r="V51" s="599">
        <f t="shared" si="80"/>
        <v>0</v>
      </c>
      <c r="W51" s="600">
        <v>4945882.0012379931</v>
      </c>
      <c r="X51" s="600">
        <v>0</v>
      </c>
      <c r="Y51" s="600">
        <v>2617565.1952343555</v>
      </c>
      <c r="Z51" s="600">
        <f t="shared" si="71"/>
        <v>0</v>
      </c>
      <c r="AA51" s="600">
        <f t="shared" si="72"/>
        <v>4945882.0012379931</v>
      </c>
      <c r="AB51" s="601">
        <f t="shared" si="86"/>
        <v>0</v>
      </c>
      <c r="AC51" s="599">
        <v>1050238.469695535</v>
      </c>
      <c r="AD51" s="599">
        <f>MAX(IF(M51="Yes",'Assumption Inputs'!$C$40,'Assumption Inputs'!$C$41),AC51)</f>
        <v>6000000</v>
      </c>
      <c r="AE51" s="599">
        <f t="shared" si="81"/>
        <v>3208393.6542030866</v>
      </c>
      <c r="AF51" s="599">
        <f t="shared" si="87"/>
        <v>1737488.3470349067</v>
      </c>
      <c r="AG51" s="599">
        <f t="shared" si="82"/>
        <v>0</v>
      </c>
      <c r="AH51" s="599">
        <f t="shared" si="83"/>
        <v>4945882.0012379931</v>
      </c>
      <c r="AI51" s="599">
        <v>7103587.2763505466</v>
      </c>
      <c r="AJ51" s="599">
        <v>7103587.2763505466</v>
      </c>
      <c r="AK51" s="602">
        <f t="shared" si="74"/>
        <v>1</v>
      </c>
      <c r="AL51" s="603">
        <f t="shared" si="25"/>
        <v>0</v>
      </c>
      <c r="AM51" s="600">
        <f t="shared" si="75"/>
        <v>3208393.6542030866</v>
      </c>
      <c r="AN51" s="600">
        <f t="shared" si="88"/>
        <v>3208393.6542030866</v>
      </c>
      <c r="AO51" s="600">
        <f t="shared" si="27"/>
        <v>0</v>
      </c>
      <c r="AP51" s="600">
        <f t="shared" si="28"/>
        <v>1737488.3470349065</v>
      </c>
      <c r="AQ51" s="600">
        <f t="shared" si="76"/>
        <v>0</v>
      </c>
      <c r="AR51" s="600">
        <f t="shared" si="77"/>
        <v>3208393.6542030866</v>
      </c>
      <c r="AS51" s="604">
        <f t="shared" si="89"/>
        <v>1737488.3470349067</v>
      </c>
      <c r="AT51" s="605">
        <f t="shared" si="90"/>
        <v>0</v>
      </c>
      <c r="AU51" s="600">
        <f t="shared" si="91"/>
        <v>4945882.0012379931</v>
      </c>
      <c r="AV51" s="600">
        <f t="shared" si="92"/>
        <v>4945882.0012379931</v>
      </c>
      <c r="AW51" s="600">
        <f t="shared" si="93"/>
        <v>0</v>
      </c>
      <c r="AX51" s="600">
        <f t="shared" si="94"/>
        <v>0</v>
      </c>
      <c r="AY51" s="600">
        <f t="shared" si="95"/>
        <v>0</v>
      </c>
      <c r="AZ51" s="600">
        <f t="shared" si="96"/>
        <v>4945882.0012379931</v>
      </c>
      <c r="BA51" s="600">
        <f t="shared" si="97"/>
        <v>0</v>
      </c>
      <c r="BB51" s="600">
        <f t="shared" si="98"/>
        <v>0</v>
      </c>
      <c r="BC51" s="600">
        <f t="shared" si="99"/>
        <v>0</v>
      </c>
      <c r="BD51" s="600">
        <f t="shared" si="100"/>
        <v>1737488.3470349067</v>
      </c>
      <c r="BE51" s="600">
        <f t="shared" si="101"/>
        <v>0</v>
      </c>
      <c r="BF51" s="600">
        <f t="shared" si="102"/>
        <v>3208393.6542030862</v>
      </c>
      <c r="BG51" s="600">
        <v>0</v>
      </c>
      <c r="BH51" s="600">
        <v>0</v>
      </c>
      <c r="BI51" s="600">
        <f t="shared" si="103"/>
        <v>0</v>
      </c>
      <c r="BJ51" s="600">
        <f t="shared" si="104"/>
        <v>4945882</v>
      </c>
      <c r="BK51" s="600">
        <f t="shared" si="105"/>
        <v>1737488.3465999998</v>
      </c>
      <c r="BL51" s="600">
        <v>4945882</v>
      </c>
      <c r="BM51" s="600">
        <f t="shared" si="106"/>
        <v>0</v>
      </c>
      <c r="BN51" s="600">
        <f t="shared" si="107"/>
        <v>0</v>
      </c>
      <c r="BO51" s="600">
        <f t="shared" si="108"/>
        <v>1737488.35</v>
      </c>
      <c r="BP51" s="600">
        <f t="shared" si="109"/>
        <v>1737488.3465999998</v>
      </c>
      <c r="BQ51" s="600">
        <f t="shared" si="110"/>
        <v>0</v>
      </c>
      <c r="BR51" s="600">
        <f t="shared" si="111"/>
        <v>1737488.35</v>
      </c>
      <c r="BT51" s="606">
        <f t="shared" si="112"/>
        <v>1</v>
      </c>
      <c r="BU51" s="607">
        <f t="shared" si="113"/>
        <v>0</v>
      </c>
      <c r="BV51" s="606">
        <f t="shared" si="114"/>
        <v>1</v>
      </c>
      <c r="BW51" s="607">
        <f t="shared" si="115"/>
        <v>0</v>
      </c>
      <c r="BX51" s="607">
        <f t="shared" si="116"/>
        <v>0</v>
      </c>
      <c r="BY51" s="607">
        <f t="shared" si="117"/>
        <v>0</v>
      </c>
      <c r="BZ51" s="607">
        <f t="shared" si="118"/>
        <v>0</v>
      </c>
      <c r="CA51" s="607">
        <f t="shared" si="119"/>
        <v>0</v>
      </c>
      <c r="CB51" s="607">
        <f t="shared" si="78"/>
        <v>0</v>
      </c>
      <c r="CC51" s="607">
        <f t="shared" si="120"/>
        <v>0</v>
      </c>
      <c r="CD51" s="607">
        <f t="shared" si="121"/>
        <v>0</v>
      </c>
      <c r="CE51" s="607">
        <f t="shared" si="122"/>
        <v>0</v>
      </c>
      <c r="CF51" s="607">
        <f t="shared" si="123"/>
        <v>0</v>
      </c>
      <c r="CG51" s="607">
        <f t="shared" si="124"/>
        <v>0</v>
      </c>
      <c r="CH51" s="607">
        <f t="shared" si="125"/>
        <v>4945882</v>
      </c>
      <c r="CI51" s="609"/>
      <c r="CK51" s="610" t="str">
        <f t="shared" si="79"/>
        <v/>
      </c>
      <c r="CL51" s="611" t="str">
        <f>IF(CK51="","",COUNTIFS($CK$16:CK51,"Yes")+MAX(State!AD:AD))</f>
        <v/>
      </c>
      <c r="CM51" s="612" t="b">
        <f>IF(C51="", "", AND(INDEX('Summary Dynamic'!$D$8:$D$10, MATCH(H51, 'Summary Dynamic'!$C$8:$C$10, 0))="Include", INDEX('Summary Dynamic'!$D$12:$D$14, MATCH(I51, 'Summary Dynamic'!$C$12:$C$14, 0))="Include", INDEX('Summary Dynamic'!$D$16:$D$17, MATCH(J51, 'Summary Dynamic'!$C$16:$C$17, 0))="Include", INDEX('Summary Dynamic'!$D$19:$D$20, MATCH(K51, 'Summary Dynamic'!$C$19:$C$20, 0))="Include", INDEX('Summary Dynamic'!$D$25:$D$26, MATCH(L51, 'Summary Dynamic'!$C$25:$C$26, 0))="Include",'Summary Dynamic'!$D$23="Include"))</f>
        <v>1</v>
      </c>
      <c r="CN51" s="613">
        <f>IFERROR(IF(CM51=TRUE, COUNTIFS($CM$16:CM51, TRUE), ""), "")</f>
        <v>36</v>
      </c>
      <c r="CP51" s="614" t="str">
        <f t="shared" si="126"/>
        <v>Non-Rural Public</v>
      </c>
      <c r="CY51" s="615"/>
      <c r="CZ51" s="616"/>
    </row>
    <row r="52" spans="2:104" x14ac:dyDescent="0.25">
      <c r="B52" s="617">
        <f t="shared" si="67"/>
        <v>37</v>
      </c>
      <c r="C52" s="593" t="s">
        <v>580</v>
      </c>
      <c r="D52" s="594" t="s">
        <v>580</v>
      </c>
      <c r="E52" s="594" t="s">
        <v>581</v>
      </c>
      <c r="F52" s="407" t="s">
        <v>582</v>
      </c>
      <c r="G52" s="408" t="s">
        <v>583</v>
      </c>
      <c r="H52" s="408" t="s">
        <v>22</v>
      </c>
      <c r="I52" s="408" t="s">
        <v>26</v>
      </c>
      <c r="J52" s="408" t="s">
        <v>31</v>
      </c>
      <c r="K52" s="408" t="s">
        <v>35</v>
      </c>
      <c r="L52" s="408" t="s">
        <v>35</v>
      </c>
      <c r="M52" s="408" t="s">
        <v>35</v>
      </c>
      <c r="N52" s="595" t="str">
        <f t="shared" si="84"/>
        <v>No</v>
      </c>
      <c r="O52" s="596">
        <v>268</v>
      </c>
      <c r="P52" s="596">
        <v>2495</v>
      </c>
      <c r="Q52" s="597">
        <v>0.26848206605778202</v>
      </c>
      <c r="R52" s="596">
        <f t="shared" si="68"/>
        <v>669.86275481416612</v>
      </c>
      <c r="S52" s="596">
        <f t="shared" si="69"/>
        <v>937.86275481416612</v>
      </c>
      <c r="T52" s="596">
        <f t="shared" si="85"/>
        <v>937.86275481416612</v>
      </c>
      <c r="U52" s="598">
        <f t="shared" si="70"/>
        <v>2.194151657021418E-4</v>
      </c>
      <c r="V52" s="599">
        <f t="shared" si="80"/>
        <v>0</v>
      </c>
      <c r="W52" s="600">
        <v>3760659.1809172905</v>
      </c>
      <c r="X52" s="600">
        <v>0</v>
      </c>
      <c r="Y52" s="600">
        <v>464995.20504318736</v>
      </c>
      <c r="Z52" s="600">
        <f t="shared" si="71"/>
        <v>0</v>
      </c>
      <c r="AA52" s="600">
        <f t="shared" si="72"/>
        <v>3760659.1809172905</v>
      </c>
      <c r="AB52" s="601">
        <f t="shared" si="86"/>
        <v>0</v>
      </c>
      <c r="AC52" s="599">
        <v>545661.94369008043</v>
      </c>
      <c r="AD52" s="599">
        <f>MAX(IF(M52="Yes",'Assumption Inputs'!$C$40,'Assumption Inputs'!$C$41),AC52)</f>
        <v>6000000</v>
      </c>
      <c r="AE52" s="599">
        <f t="shared" si="81"/>
        <v>2439539.6106610466</v>
      </c>
      <c r="AF52" s="599">
        <f t="shared" si="87"/>
        <v>0</v>
      </c>
      <c r="AG52" s="599">
        <f t="shared" si="82"/>
        <v>0</v>
      </c>
      <c r="AH52" s="599">
        <f t="shared" si="83"/>
        <v>2439539.6106610466</v>
      </c>
      <c r="AI52" s="599">
        <v>5767289.4334776159</v>
      </c>
      <c r="AJ52" s="599">
        <v>4446169.8632213715</v>
      </c>
      <c r="AK52" s="602">
        <f t="shared" si="74"/>
        <v>0.77092885912964781</v>
      </c>
      <c r="AL52" s="603">
        <f t="shared" si="25"/>
        <v>0</v>
      </c>
      <c r="AM52" s="600">
        <f t="shared" si="75"/>
        <v>2439539.6106610466</v>
      </c>
      <c r="AN52" s="600">
        <f t="shared" si="88"/>
        <v>2439539.6106610466</v>
      </c>
      <c r="AO52" s="600">
        <f t="shared" si="27"/>
        <v>0</v>
      </c>
      <c r="AP52" s="600">
        <f t="shared" si="28"/>
        <v>1321119.5702562439</v>
      </c>
      <c r="AQ52" s="600">
        <f t="shared" si="76"/>
        <v>0</v>
      </c>
      <c r="AR52" s="600">
        <f t="shared" si="77"/>
        <v>2439539.6106610466</v>
      </c>
      <c r="AS52" s="604">
        <f t="shared" si="89"/>
        <v>0</v>
      </c>
      <c r="AT52" s="605">
        <f t="shared" si="90"/>
        <v>0</v>
      </c>
      <c r="AU52" s="600">
        <f t="shared" si="91"/>
        <v>2439539.6106610466</v>
      </c>
      <c r="AV52" s="600">
        <f t="shared" si="92"/>
        <v>2439539.6106610466</v>
      </c>
      <c r="AW52" s="600">
        <f t="shared" si="93"/>
        <v>0</v>
      </c>
      <c r="AX52" s="600">
        <f t="shared" si="94"/>
        <v>1321119.5702562439</v>
      </c>
      <c r="AY52" s="600">
        <f t="shared" si="95"/>
        <v>2.5993677439928116E-12</v>
      </c>
      <c r="AZ52" s="600">
        <f t="shared" si="96"/>
        <v>2439539.6106610466</v>
      </c>
      <c r="BA52" s="600">
        <f t="shared" si="97"/>
        <v>0</v>
      </c>
      <c r="BB52" s="600">
        <f t="shared" si="98"/>
        <v>0</v>
      </c>
      <c r="BC52" s="600">
        <f t="shared" si="99"/>
        <v>0</v>
      </c>
      <c r="BD52" s="600">
        <f t="shared" si="100"/>
        <v>0</v>
      </c>
      <c r="BE52" s="600">
        <f t="shared" si="101"/>
        <v>1321119.5702562439</v>
      </c>
      <c r="BF52" s="600">
        <f t="shared" si="102"/>
        <v>2439539.6106610466</v>
      </c>
      <c r="BG52" s="600">
        <v>0</v>
      </c>
      <c r="BH52" s="600">
        <v>0</v>
      </c>
      <c r="BI52" s="600">
        <f t="shared" si="103"/>
        <v>0</v>
      </c>
      <c r="BJ52" s="600">
        <f t="shared" si="104"/>
        <v>2439539.61</v>
      </c>
      <c r="BK52" s="600">
        <f t="shared" si="105"/>
        <v>857010.26499299984</v>
      </c>
      <c r="BL52" s="600">
        <v>2439539.61</v>
      </c>
      <c r="BM52" s="600">
        <f t="shared" si="106"/>
        <v>0</v>
      </c>
      <c r="BN52" s="600">
        <f t="shared" si="107"/>
        <v>0</v>
      </c>
      <c r="BO52" s="600">
        <f t="shared" si="108"/>
        <v>0</v>
      </c>
      <c r="BP52" s="600">
        <f t="shared" si="109"/>
        <v>857010.26499299984</v>
      </c>
      <c r="BQ52" s="600">
        <f t="shared" si="110"/>
        <v>0</v>
      </c>
      <c r="BR52" s="600">
        <f t="shared" si="111"/>
        <v>0</v>
      </c>
      <c r="BT52" s="606">
        <f t="shared" si="112"/>
        <v>1</v>
      </c>
      <c r="BU52" s="607">
        <f t="shared" si="113"/>
        <v>0</v>
      </c>
      <c r="BV52" s="606">
        <f t="shared" si="114"/>
        <v>1.1939247288772465</v>
      </c>
      <c r="BW52" s="607">
        <f t="shared" si="115"/>
        <v>0</v>
      </c>
      <c r="BX52" s="607">
        <f t="shared" si="116"/>
        <v>0</v>
      </c>
      <c r="BY52" s="607">
        <f t="shared" si="117"/>
        <v>0</v>
      </c>
      <c r="BZ52" s="607">
        <f t="shared" si="118"/>
        <v>0</v>
      </c>
      <c r="CA52" s="607">
        <f t="shared" si="119"/>
        <v>0</v>
      </c>
      <c r="CB52" s="607">
        <f t="shared" si="78"/>
        <v>0</v>
      </c>
      <c r="CC52" s="607">
        <f t="shared" si="120"/>
        <v>464109.30503101845</v>
      </c>
      <c r="CD52" s="607">
        <f t="shared" si="121"/>
        <v>1321119.5702562439</v>
      </c>
      <c r="CE52" s="607">
        <f t="shared" si="122"/>
        <v>1321119.5702562439</v>
      </c>
      <c r="CF52" s="607">
        <f t="shared" si="123"/>
        <v>636743.92000000004</v>
      </c>
      <c r="CG52" s="607">
        <f t="shared" si="124"/>
        <v>0</v>
      </c>
      <c r="CH52" s="607">
        <f t="shared" si="125"/>
        <v>3076283.53</v>
      </c>
      <c r="CI52" s="609"/>
      <c r="CK52" s="610" t="str">
        <f t="shared" si="79"/>
        <v/>
      </c>
      <c r="CL52" s="611" t="str">
        <f>IF(CK52="","",COUNTIFS($CK$16:CK52,"Yes")+MAX(State!AD:AD))</f>
        <v/>
      </c>
      <c r="CM52" s="612" t="b">
        <f>IF(C52="", "", AND(INDEX('Summary Dynamic'!$D$8:$D$10, MATCH(H52, 'Summary Dynamic'!$C$8:$C$10, 0))="Include", INDEX('Summary Dynamic'!$D$12:$D$14, MATCH(I52, 'Summary Dynamic'!$C$12:$C$14, 0))="Include", INDEX('Summary Dynamic'!$D$16:$D$17, MATCH(J52, 'Summary Dynamic'!$C$16:$C$17, 0))="Include", INDEX('Summary Dynamic'!$D$19:$D$20, MATCH(K52, 'Summary Dynamic'!$C$19:$C$20, 0))="Include", INDEX('Summary Dynamic'!$D$25:$D$26, MATCH(L52, 'Summary Dynamic'!$C$25:$C$26, 0))="Include",'Summary Dynamic'!$D$23="Include"))</f>
        <v>1</v>
      </c>
      <c r="CN52" s="613">
        <f>IFERROR(IF(CM52=TRUE, COUNTIFS($CM$16:CM52, TRUE), ""), "")</f>
        <v>37</v>
      </c>
      <c r="CP52" s="614" t="str">
        <f t="shared" si="126"/>
        <v>Rural Private</v>
      </c>
      <c r="CY52" s="615"/>
      <c r="CZ52" s="616"/>
    </row>
    <row r="53" spans="2:104" x14ac:dyDescent="0.25">
      <c r="B53" s="617">
        <f t="shared" si="67"/>
        <v>38</v>
      </c>
      <c r="C53" s="593" t="s">
        <v>584</v>
      </c>
      <c r="D53" s="594" t="s">
        <v>584</v>
      </c>
      <c r="E53" s="594" t="s">
        <v>585</v>
      </c>
      <c r="F53" s="407" t="s">
        <v>586</v>
      </c>
      <c r="G53" s="408" t="s">
        <v>587</v>
      </c>
      <c r="H53" s="408" t="s">
        <v>22</v>
      </c>
      <c r="I53" s="408" t="s">
        <v>26</v>
      </c>
      <c r="J53" s="408" t="s">
        <v>31</v>
      </c>
      <c r="K53" s="408" t="s">
        <v>35</v>
      </c>
      <c r="L53" s="408" t="s">
        <v>35</v>
      </c>
      <c r="M53" s="408" t="s">
        <v>35</v>
      </c>
      <c r="N53" s="595" t="str">
        <f t="shared" si="84"/>
        <v>No</v>
      </c>
      <c r="O53" s="596">
        <v>1240</v>
      </c>
      <c r="P53" s="596">
        <v>7142</v>
      </c>
      <c r="Q53" s="597">
        <v>0.24048414698941528</v>
      </c>
      <c r="R53" s="596">
        <f t="shared" si="68"/>
        <v>1717.537777798404</v>
      </c>
      <c r="S53" s="596">
        <f t="shared" si="69"/>
        <v>2957.537777798404</v>
      </c>
      <c r="T53" s="596">
        <f t="shared" si="85"/>
        <v>2957.537777798404</v>
      </c>
      <c r="U53" s="598">
        <f t="shared" si="70"/>
        <v>6.9192281946899969E-4</v>
      </c>
      <c r="V53" s="599">
        <f t="shared" si="80"/>
        <v>0</v>
      </c>
      <c r="W53" s="600">
        <v>4247796.5681406185</v>
      </c>
      <c r="X53" s="600">
        <v>0</v>
      </c>
      <c r="Y53" s="600">
        <v>2142433.6117058415</v>
      </c>
      <c r="Z53" s="600">
        <f t="shared" si="71"/>
        <v>0</v>
      </c>
      <c r="AA53" s="600">
        <f t="shared" si="72"/>
        <v>4247796.5681406185</v>
      </c>
      <c r="AB53" s="601">
        <f t="shared" si="86"/>
        <v>0</v>
      </c>
      <c r="AC53" s="599">
        <v>166154.37250159105</v>
      </c>
      <c r="AD53" s="599">
        <f>MAX(IF(M53="Yes",'Assumption Inputs'!$C$40,'Assumption Inputs'!$C$41),AC53)</f>
        <v>6000000</v>
      </c>
      <c r="AE53" s="599">
        <f t="shared" si="81"/>
        <v>2755545.6337528196</v>
      </c>
      <c r="AF53" s="599">
        <f t="shared" si="87"/>
        <v>0</v>
      </c>
      <c r="AG53" s="599">
        <f t="shared" si="82"/>
        <v>0</v>
      </c>
      <c r="AH53" s="599">
        <f t="shared" si="83"/>
        <v>2755545.6337528196</v>
      </c>
      <c r="AI53" s="599">
        <v>11726195.768235004</v>
      </c>
      <c r="AJ53" s="599">
        <v>10233944.833847206</v>
      </c>
      <c r="AK53" s="602">
        <f t="shared" si="74"/>
        <v>0.8727421097275091</v>
      </c>
      <c r="AL53" s="603">
        <f t="shared" si="25"/>
        <v>0</v>
      </c>
      <c r="AM53" s="600">
        <f t="shared" si="75"/>
        <v>2755545.6337528196</v>
      </c>
      <c r="AN53" s="600">
        <f t="shared" si="88"/>
        <v>2755545.6337528196</v>
      </c>
      <c r="AO53" s="600">
        <f t="shared" si="27"/>
        <v>0</v>
      </c>
      <c r="AP53" s="600">
        <f t="shared" si="28"/>
        <v>1492250.9343877989</v>
      </c>
      <c r="AQ53" s="600">
        <f t="shared" si="76"/>
        <v>0</v>
      </c>
      <c r="AR53" s="600">
        <f t="shared" si="77"/>
        <v>2755545.6337528196</v>
      </c>
      <c r="AS53" s="604">
        <f t="shared" si="89"/>
        <v>0</v>
      </c>
      <c r="AT53" s="605">
        <f t="shared" si="90"/>
        <v>0</v>
      </c>
      <c r="AU53" s="600">
        <f t="shared" si="91"/>
        <v>2755545.6337528196</v>
      </c>
      <c r="AV53" s="600">
        <f t="shared" si="92"/>
        <v>2755545.6337528196</v>
      </c>
      <c r="AW53" s="600">
        <f t="shared" si="93"/>
        <v>0</v>
      </c>
      <c r="AX53" s="600">
        <f t="shared" si="94"/>
        <v>1492250.9343877989</v>
      </c>
      <c r="AY53" s="600">
        <f t="shared" si="95"/>
        <v>2.9360771213452128E-12</v>
      </c>
      <c r="AZ53" s="600">
        <f t="shared" si="96"/>
        <v>2755545.6337528196</v>
      </c>
      <c r="BA53" s="600">
        <f t="shared" si="97"/>
        <v>0</v>
      </c>
      <c r="BB53" s="600">
        <f t="shared" si="98"/>
        <v>0</v>
      </c>
      <c r="BC53" s="600">
        <f t="shared" si="99"/>
        <v>0</v>
      </c>
      <c r="BD53" s="600">
        <f t="shared" si="100"/>
        <v>0</v>
      </c>
      <c r="BE53" s="600">
        <f t="shared" si="101"/>
        <v>1492250.9343877989</v>
      </c>
      <c r="BF53" s="600">
        <f t="shared" si="102"/>
        <v>2755545.6337528196</v>
      </c>
      <c r="BG53" s="600">
        <v>0</v>
      </c>
      <c r="BH53" s="600">
        <v>0</v>
      </c>
      <c r="BI53" s="600">
        <f t="shared" si="103"/>
        <v>0</v>
      </c>
      <c r="BJ53" s="600">
        <f t="shared" si="104"/>
        <v>2755545.63</v>
      </c>
      <c r="BK53" s="600">
        <f t="shared" si="105"/>
        <v>968023.17981899984</v>
      </c>
      <c r="BL53" s="600">
        <v>2755545.63</v>
      </c>
      <c r="BM53" s="600">
        <f t="shared" si="106"/>
        <v>0</v>
      </c>
      <c r="BN53" s="600">
        <f t="shared" si="107"/>
        <v>0</v>
      </c>
      <c r="BO53" s="600">
        <f t="shared" si="108"/>
        <v>0</v>
      </c>
      <c r="BP53" s="600">
        <f t="shared" si="109"/>
        <v>968023.17981899984</v>
      </c>
      <c r="BQ53" s="600">
        <f t="shared" si="110"/>
        <v>0</v>
      </c>
      <c r="BR53" s="600">
        <f t="shared" si="111"/>
        <v>0</v>
      </c>
      <c r="BT53" s="606">
        <f t="shared" si="112"/>
        <v>1</v>
      </c>
      <c r="BU53" s="607">
        <f t="shared" si="113"/>
        <v>0</v>
      </c>
      <c r="BV53" s="606">
        <f t="shared" si="114"/>
        <v>1.1077326969957579</v>
      </c>
      <c r="BW53" s="607">
        <f t="shared" si="115"/>
        <v>0</v>
      </c>
      <c r="BX53" s="607">
        <f t="shared" si="116"/>
        <v>0</v>
      </c>
      <c r="BY53" s="607">
        <f t="shared" si="117"/>
        <v>0</v>
      </c>
      <c r="BZ53" s="607">
        <f t="shared" si="118"/>
        <v>0</v>
      </c>
      <c r="CA53" s="607">
        <f t="shared" si="119"/>
        <v>0</v>
      </c>
      <c r="CB53" s="607">
        <f t="shared" si="78"/>
        <v>0</v>
      </c>
      <c r="CC53" s="607">
        <f t="shared" si="120"/>
        <v>524227.75325043366</v>
      </c>
      <c r="CD53" s="607">
        <f t="shared" si="121"/>
        <v>1492250.9343877989</v>
      </c>
      <c r="CE53" s="607">
        <f t="shared" si="122"/>
        <v>1492250.9343877989</v>
      </c>
      <c r="CF53" s="607">
        <f t="shared" si="123"/>
        <v>719224.61</v>
      </c>
      <c r="CG53" s="607">
        <f t="shared" si="124"/>
        <v>0</v>
      </c>
      <c r="CH53" s="607">
        <f t="shared" si="125"/>
        <v>3474770.2399999998</v>
      </c>
      <c r="CI53" s="609"/>
      <c r="CK53" s="610" t="str">
        <f t="shared" si="79"/>
        <v/>
      </c>
      <c r="CL53" s="611" t="str">
        <f>IF(CK53="","",COUNTIFS($CK$16:CK53,"Yes")+MAX(State!AD:AD))</f>
        <v/>
      </c>
      <c r="CM53" s="612" t="b">
        <f>IF(C53="", "", AND(INDEX('Summary Dynamic'!$D$8:$D$10, MATCH(H53, 'Summary Dynamic'!$C$8:$C$10, 0))="Include", INDEX('Summary Dynamic'!$D$12:$D$14, MATCH(I53, 'Summary Dynamic'!$C$12:$C$14, 0))="Include", INDEX('Summary Dynamic'!$D$16:$D$17, MATCH(J53, 'Summary Dynamic'!$C$16:$C$17, 0))="Include", INDEX('Summary Dynamic'!$D$19:$D$20, MATCH(K53, 'Summary Dynamic'!$C$19:$C$20, 0))="Include", INDEX('Summary Dynamic'!$D$25:$D$26, MATCH(L53, 'Summary Dynamic'!$C$25:$C$26, 0))="Include",'Summary Dynamic'!$D$23="Include"))</f>
        <v>1</v>
      </c>
      <c r="CN53" s="613">
        <f>IFERROR(IF(CM53=TRUE, COUNTIFS($CM$16:CM53, TRUE), ""), "")</f>
        <v>38</v>
      </c>
      <c r="CP53" s="614" t="str">
        <f t="shared" si="126"/>
        <v>Rural Private</v>
      </c>
      <c r="CY53" s="615"/>
      <c r="CZ53" s="616"/>
    </row>
    <row r="54" spans="2:104" x14ac:dyDescent="0.25">
      <c r="B54" s="617">
        <f t="shared" si="67"/>
        <v>39</v>
      </c>
      <c r="C54" s="593" t="s">
        <v>588</v>
      </c>
      <c r="D54" s="594" t="s">
        <v>588</v>
      </c>
      <c r="E54" s="594" t="s">
        <v>589</v>
      </c>
      <c r="F54" s="407" t="s">
        <v>590</v>
      </c>
      <c r="G54" s="408" t="s">
        <v>591</v>
      </c>
      <c r="H54" s="408" t="s">
        <v>22</v>
      </c>
      <c r="I54" s="408" t="s">
        <v>28</v>
      </c>
      <c r="J54" s="408" t="s">
        <v>31</v>
      </c>
      <c r="K54" s="408" t="s">
        <v>35</v>
      </c>
      <c r="L54" s="408" t="s">
        <v>35</v>
      </c>
      <c r="M54" s="408" t="s">
        <v>35</v>
      </c>
      <c r="N54" s="595" t="str">
        <f t="shared" si="84"/>
        <v>Yes</v>
      </c>
      <c r="O54" s="596">
        <v>313</v>
      </c>
      <c r="P54" s="596">
        <v>2185</v>
      </c>
      <c r="Q54" s="597">
        <v>0</v>
      </c>
      <c r="R54" s="596">
        <f t="shared" si="68"/>
        <v>0</v>
      </c>
      <c r="S54" s="596">
        <f t="shared" si="69"/>
        <v>313</v>
      </c>
      <c r="T54" s="596">
        <f t="shared" si="85"/>
        <v>422.95689999999996</v>
      </c>
      <c r="U54" s="598">
        <f t="shared" si="70"/>
        <v>9.8951747280712511E-5</v>
      </c>
      <c r="V54" s="599">
        <f t="shared" si="80"/>
        <v>0</v>
      </c>
      <c r="W54" s="600">
        <v>966664.29491783481</v>
      </c>
      <c r="X54" s="600">
        <v>0</v>
      </c>
      <c r="Y54" s="600">
        <v>189863.21131427033</v>
      </c>
      <c r="Z54" s="600">
        <f t="shared" si="71"/>
        <v>0</v>
      </c>
      <c r="AA54" s="600">
        <f t="shared" si="72"/>
        <v>966664.29491783481</v>
      </c>
      <c r="AB54" s="601">
        <f t="shared" si="86"/>
        <v>0</v>
      </c>
      <c r="AC54" s="599">
        <v>393904.99959435477</v>
      </c>
      <c r="AD54" s="599">
        <f>MAX(IF(M54="Yes",'Assumption Inputs'!$C$40,'Assumption Inputs'!$C$41),AC54)</f>
        <v>6000000</v>
      </c>
      <c r="AE54" s="599">
        <f t="shared" si="81"/>
        <v>627075.12811319949</v>
      </c>
      <c r="AF54" s="599">
        <f t="shared" si="87"/>
        <v>339589.16680463532</v>
      </c>
      <c r="AG54" s="599">
        <f t="shared" si="82"/>
        <v>0</v>
      </c>
      <c r="AH54" s="599">
        <f t="shared" si="83"/>
        <v>966664.29491783481</v>
      </c>
      <c r="AI54" s="599">
        <v>3811878.1418953738</v>
      </c>
      <c r="AJ54" s="599">
        <v>3811878.1418953738</v>
      </c>
      <c r="AK54" s="602">
        <f t="shared" si="74"/>
        <v>1</v>
      </c>
      <c r="AL54" s="603">
        <f t="shared" si="25"/>
        <v>0</v>
      </c>
      <c r="AM54" s="600">
        <f t="shared" si="75"/>
        <v>627075.12811319949</v>
      </c>
      <c r="AN54" s="600">
        <f t="shared" si="88"/>
        <v>627075.12811319949</v>
      </c>
      <c r="AO54" s="600">
        <f t="shared" si="27"/>
        <v>0</v>
      </c>
      <c r="AP54" s="600">
        <f t="shared" si="28"/>
        <v>339589.16680463532</v>
      </c>
      <c r="AQ54" s="600">
        <f t="shared" si="76"/>
        <v>0</v>
      </c>
      <c r="AR54" s="600">
        <f t="shared" si="77"/>
        <v>627075.12811319949</v>
      </c>
      <c r="AS54" s="604">
        <f t="shared" si="89"/>
        <v>339589.16680463532</v>
      </c>
      <c r="AT54" s="605">
        <f t="shared" si="90"/>
        <v>0</v>
      </c>
      <c r="AU54" s="600">
        <f t="shared" si="91"/>
        <v>966664.29491783481</v>
      </c>
      <c r="AV54" s="600">
        <f t="shared" si="92"/>
        <v>966664.29491783481</v>
      </c>
      <c r="AW54" s="600">
        <f t="shared" si="93"/>
        <v>0</v>
      </c>
      <c r="AX54" s="600">
        <f t="shared" si="94"/>
        <v>0</v>
      </c>
      <c r="AY54" s="600">
        <f t="shared" si="95"/>
        <v>0</v>
      </c>
      <c r="AZ54" s="600">
        <f t="shared" si="96"/>
        <v>966664.29491783481</v>
      </c>
      <c r="BA54" s="600">
        <f t="shared" si="97"/>
        <v>0</v>
      </c>
      <c r="BB54" s="600">
        <f t="shared" si="98"/>
        <v>0</v>
      </c>
      <c r="BC54" s="600">
        <f t="shared" si="99"/>
        <v>0</v>
      </c>
      <c r="BD54" s="600">
        <f t="shared" si="100"/>
        <v>339589.16680463532</v>
      </c>
      <c r="BE54" s="600">
        <f t="shared" si="101"/>
        <v>0</v>
      </c>
      <c r="BF54" s="600">
        <f t="shared" si="102"/>
        <v>627075.12811319949</v>
      </c>
      <c r="BG54" s="600">
        <v>0</v>
      </c>
      <c r="BH54" s="600">
        <v>0</v>
      </c>
      <c r="BI54" s="600">
        <f t="shared" si="103"/>
        <v>0</v>
      </c>
      <c r="BJ54" s="600">
        <f t="shared" si="104"/>
        <v>966664.29</v>
      </c>
      <c r="BK54" s="600">
        <f t="shared" si="105"/>
        <v>339589.16507699998</v>
      </c>
      <c r="BL54" s="600">
        <v>966664.29</v>
      </c>
      <c r="BM54" s="600">
        <f t="shared" si="106"/>
        <v>0</v>
      </c>
      <c r="BN54" s="600">
        <f t="shared" si="107"/>
        <v>0</v>
      </c>
      <c r="BO54" s="600">
        <f t="shared" si="108"/>
        <v>339589.17</v>
      </c>
      <c r="BP54" s="600">
        <f t="shared" si="109"/>
        <v>339589.16507699998</v>
      </c>
      <c r="BQ54" s="600">
        <f t="shared" si="110"/>
        <v>0</v>
      </c>
      <c r="BR54" s="600">
        <f t="shared" si="111"/>
        <v>339589.17</v>
      </c>
      <c r="BT54" s="606">
        <f t="shared" si="112"/>
        <v>1.2535926527597094</v>
      </c>
      <c r="BU54" s="607">
        <f t="shared" si="113"/>
        <v>0</v>
      </c>
      <c r="BV54" s="606">
        <f t="shared" si="114"/>
        <v>1</v>
      </c>
      <c r="BW54" s="607">
        <f t="shared" si="115"/>
        <v>0</v>
      </c>
      <c r="BX54" s="607">
        <f t="shared" si="116"/>
        <v>0</v>
      </c>
      <c r="BY54" s="607">
        <f t="shared" si="117"/>
        <v>0</v>
      </c>
      <c r="BZ54" s="607">
        <f t="shared" si="118"/>
        <v>0</v>
      </c>
      <c r="CA54" s="607">
        <f t="shared" si="119"/>
        <v>0</v>
      </c>
      <c r="CB54" s="607">
        <f t="shared" si="78"/>
        <v>0</v>
      </c>
      <c r="CC54" s="607">
        <f t="shared" si="120"/>
        <v>0</v>
      </c>
      <c r="CD54" s="607">
        <f t="shared" si="121"/>
        <v>0</v>
      </c>
      <c r="CE54" s="607">
        <f t="shared" si="122"/>
        <v>0</v>
      </c>
      <c r="CF54" s="607">
        <f t="shared" si="123"/>
        <v>0</v>
      </c>
      <c r="CG54" s="607">
        <f t="shared" si="124"/>
        <v>0</v>
      </c>
      <c r="CH54" s="607">
        <f t="shared" si="125"/>
        <v>966664.29</v>
      </c>
      <c r="CI54" s="609"/>
      <c r="CK54" s="610" t="str">
        <f t="shared" si="79"/>
        <v/>
      </c>
      <c r="CL54" s="611" t="str">
        <f>IF(CK54="","",COUNTIFS($CK$16:CK54,"Yes")+MAX(State!AD:AD))</f>
        <v/>
      </c>
      <c r="CM54" s="612" t="b">
        <f>IF(C54="", "", AND(INDEX('Summary Dynamic'!$D$8:$D$10, MATCH(H54, 'Summary Dynamic'!$C$8:$C$10, 0))="Include", INDEX('Summary Dynamic'!$D$12:$D$14, MATCH(I54, 'Summary Dynamic'!$C$12:$C$14, 0))="Include", INDEX('Summary Dynamic'!$D$16:$D$17, MATCH(J54, 'Summary Dynamic'!$C$16:$C$17, 0))="Include", INDEX('Summary Dynamic'!$D$19:$D$20, MATCH(K54, 'Summary Dynamic'!$C$19:$C$20, 0))="Include", INDEX('Summary Dynamic'!$D$25:$D$26, MATCH(L54, 'Summary Dynamic'!$C$25:$C$26, 0))="Include",'Summary Dynamic'!$D$23="Include"))</f>
        <v>1</v>
      </c>
      <c r="CN54" s="613">
        <f>IFERROR(IF(CM54=TRUE, COUNTIFS($CM$16:CM54, TRUE), ""), "")</f>
        <v>39</v>
      </c>
      <c r="CP54" s="614" t="str">
        <f t="shared" si="126"/>
        <v>Rural Public</v>
      </c>
      <c r="CY54" s="615"/>
      <c r="CZ54" s="616"/>
    </row>
    <row r="55" spans="2:104" x14ac:dyDescent="0.25">
      <c r="B55" s="617">
        <f t="shared" si="67"/>
        <v>40</v>
      </c>
      <c r="C55" s="593" t="s">
        <v>592</v>
      </c>
      <c r="D55" s="594" t="s">
        <v>592</v>
      </c>
      <c r="E55" s="594" t="s">
        <v>593</v>
      </c>
      <c r="F55" s="407" t="s">
        <v>594</v>
      </c>
      <c r="G55" s="408" t="s">
        <v>595</v>
      </c>
      <c r="H55" s="408" t="s">
        <v>22</v>
      </c>
      <c r="I55" s="408" t="s">
        <v>26</v>
      </c>
      <c r="J55" s="408" t="s">
        <v>35</v>
      </c>
      <c r="K55" s="408" t="s">
        <v>35</v>
      </c>
      <c r="L55" s="408" t="s">
        <v>35</v>
      </c>
      <c r="M55" s="408" t="s">
        <v>35</v>
      </c>
      <c r="N55" s="595" t="str">
        <f t="shared" si="84"/>
        <v>No</v>
      </c>
      <c r="O55" s="596">
        <v>9045</v>
      </c>
      <c r="P55" s="596">
        <v>32662</v>
      </c>
      <c r="Q55" s="597">
        <v>0.11076674666622519</v>
      </c>
      <c r="R55" s="596">
        <f t="shared" si="68"/>
        <v>3617.8634796122469</v>
      </c>
      <c r="S55" s="596">
        <f t="shared" si="69"/>
        <v>12662.863479612246</v>
      </c>
      <c r="T55" s="596">
        <f t="shared" si="85"/>
        <v>12662.863479612246</v>
      </c>
      <c r="U55" s="598">
        <f t="shared" si="70"/>
        <v>2.9625062669145601E-3</v>
      </c>
      <c r="V55" s="599">
        <f t="shared" si="80"/>
        <v>0</v>
      </c>
      <c r="W55" s="600">
        <v>3421779.5121770948</v>
      </c>
      <c r="X55" s="600">
        <v>0</v>
      </c>
      <c r="Y55" s="600">
        <v>6838547.8366510849</v>
      </c>
      <c r="Z55" s="600">
        <f t="shared" si="71"/>
        <v>0</v>
      </c>
      <c r="AA55" s="600">
        <f t="shared" si="72"/>
        <v>3421779.5121770948</v>
      </c>
      <c r="AB55" s="601">
        <f t="shared" si="86"/>
        <v>0</v>
      </c>
      <c r="AC55" s="599">
        <v>0</v>
      </c>
      <c r="AD55" s="599">
        <f>MAX(IF(M55="Yes",'Assumption Inputs'!$C$40,'Assumption Inputs'!$C$41),AC55)</f>
        <v>6000000</v>
      </c>
      <c r="AE55" s="599">
        <f t="shared" si="81"/>
        <v>2219708.3695492819</v>
      </c>
      <c r="AF55" s="599">
        <f t="shared" si="87"/>
        <v>0</v>
      </c>
      <c r="AG55" s="599">
        <f t="shared" si="82"/>
        <v>0</v>
      </c>
      <c r="AH55" s="599">
        <f t="shared" si="83"/>
        <v>2219708.3695492819</v>
      </c>
      <c r="AI55" s="599">
        <v>36434625.672811925</v>
      </c>
      <c r="AJ55" s="599">
        <v>35232554.53018412</v>
      </c>
      <c r="AK55" s="602">
        <f t="shared" si="74"/>
        <v>0.96700745182830827</v>
      </c>
      <c r="AL55" s="603">
        <f t="shared" si="25"/>
        <v>0</v>
      </c>
      <c r="AM55" s="600">
        <f t="shared" si="75"/>
        <v>2219708.3695492819</v>
      </c>
      <c r="AN55" s="600">
        <f t="shared" si="88"/>
        <v>2219708.3695492819</v>
      </c>
      <c r="AO55" s="600">
        <f t="shared" si="27"/>
        <v>0</v>
      </c>
      <c r="AP55" s="600">
        <f t="shared" si="28"/>
        <v>1202071.1426278129</v>
      </c>
      <c r="AQ55" s="600">
        <f t="shared" si="76"/>
        <v>0</v>
      </c>
      <c r="AR55" s="600">
        <f t="shared" si="77"/>
        <v>2219708.3695492819</v>
      </c>
      <c r="AS55" s="604">
        <f t="shared" si="89"/>
        <v>0</v>
      </c>
      <c r="AT55" s="605">
        <f t="shared" si="90"/>
        <v>0</v>
      </c>
      <c r="AU55" s="600">
        <f t="shared" si="91"/>
        <v>2219708.3695492819</v>
      </c>
      <c r="AV55" s="600">
        <f t="shared" si="92"/>
        <v>2219708.3695492819</v>
      </c>
      <c r="AW55" s="600">
        <f t="shared" si="93"/>
        <v>0</v>
      </c>
      <c r="AX55" s="600">
        <f t="shared" si="94"/>
        <v>1202071.1426278129</v>
      </c>
      <c r="AY55" s="600">
        <f t="shared" si="95"/>
        <v>2.3651341063135319E-12</v>
      </c>
      <c r="AZ55" s="600">
        <f t="shared" si="96"/>
        <v>2219708.3695492819</v>
      </c>
      <c r="BA55" s="600">
        <f t="shared" si="97"/>
        <v>0</v>
      </c>
      <c r="BB55" s="600">
        <f t="shared" si="98"/>
        <v>0</v>
      </c>
      <c r="BC55" s="600">
        <f t="shared" si="99"/>
        <v>0</v>
      </c>
      <c r="BD55" s="600">
        <f t="shared" si="100"/>
        <v>0</v>
      </c>
      <c r="BE55" s="600">
        <f t="shared" si="101"/>
        <v>1202071.1426278129</v>
      </c>
      <c r="BF55" s="600">
        <f t="shared" si="102"/>
        <v>2219708.3695492819</v>
      </c>
      <c r="BG55" s="600">
        <v>0</v>
      </c>
      <c r="BH55" s="600">
        <v>0</v>
      </c>
      <c r="BI55" s="600">
        <f t="shared" si="103"/>
        <v>0</v>
      </c>
      <c r="BJ55" s="600">
        <f t="shared" si="104"/>
        <v>2219708.37</v>
      </c>
      <c r="BK55" s="600">
        <f t="shared" si="105"/>
        <v>779783.55038099992</v>
      </c>
      <c r="BL55" s="600">
        <v>2219708.37</v>
      </c>
      <c r="BM55" s="600">
        <f t="shared" si="106"/>
        <v>0</v>
      </c>
      <c r="BN55" s="600">
        <f t="shared" si="107"/>
        <v>0</v>
      </c>
      <c r="BO55" s="600">
        <f t="shared" si="108"/>
        <v>0</v>
      </c>
      <c r="BP55" s="600">
        <f t="shared" si="109"/>
        <v>779783.55038099992</v>
      </c>
      <c r="BQ55" s="600">
        <f t="shared" si="110"/>
        <v>0</v>
      </c>
      <c r="BR55" s="600">
        <f t="shared" si="111"/>
        <v>0</v>
      </c>
      <c r="BT55" s="606">
        <f t="shared" si="112"/>
        <v>1</v>
      </c>
      <c r="BU55" s="607">
        <f t="shared" si="113"/>
        <v>0</v>
      </c>
      <c r="BV55" s="606">
        <f t="shared" si="114"/>
        <v>1</v>
      </c>
      <c r="BW55" s="607">
        <f t="shared" si="115"/>
        <v>0</v>
      </c>
      <c r="BX55" s="607">
        <f t="shared" si="116"/>
        <v>0</v>
      </c>
      <c r="BY55" s="607">
        <f t="shared" si="117"/>
        <v>0</v>
      </c>
      <c r="BZ55" s="607">
        <f t="shared" si="118"/>
        <v>0</v>
      </c>
      <c r="CA55" s="607">
        <f t="shared" si="119"/>
        <v>0</v>
      </c>
      <c r="CB55" s="607">
        <f t="shared" si="78"/>
        <v>0</v>
      </c>
      <c r="CC55" s="607">
        <f t="shared" si="120"/>
        <v>0</v>
      </c>
      <c r="CD55" s="607">
        <f t="shared" si="121"/>
        <v>0</v>
      </c>
      <c r="CE55" s="607">
        <f t="shared" si="122"/>
        <v>0</v>
      </c>
      <c r="CF55" s="607">
        <f t="shared" si="123"/>
        <v>0</v>
      </c>
      <c r="CG55" s="607">
        <f t="shared" si="124"/>
        <v>0</v>
      </c>
      <c r="CH55" s="607">
        <f t="shared" si="125"/>
        <v>2219708.37</v>
      </c>
      <c r="CI55" s="609"/>
      <c r="CK55" s="610" t="str">
        <f t="shared" si="79"/>
        <v/>
      </c>
      <c r="CL55" s="611" t="str">
        <f>IF(CK55="","",COUNTIFS($CK$16:CK55,"Yes")+MAX(State!AD:AD))</f>
        <v/>
      </c>
      <c r="CM55" s="612" t="b">
        <f>IF(C55="", "", AND(INDEX('Summary Dynamic'!$D$8:$D$10, MATCH(H55, 'Summary Dynamic'!$C$8:$C$10, 0))="Include", INDEX('Summary Dynamic'!$D$12:$D$14, MATCH(I55, 'Summary Dynamic'!$C$12:$C$14, 0))="Include", INDEX('Summary Dynamic'!$D$16:$D$17, MATCH(J55, 'Summary Dynamic'!$C$16:$C$17, 0))="Include", INDEX('Summary Dynamic'!$D$19:$D$20, MATCH(K55, 'Summary Dynamic'!$C$19:$C$20, 0))="Include", INDEX('Summary Dynamic'!$D$25:$D$26, MATCH(L55, 'Summary Dynamic'!$C$25:$C$26, 0))="Include",'Summary Dynamic'!$D$23="Include"))</f>
        <v>1</v>
      </c>
      <c r="CN55" s="613">
        <f>IFERROR(IF(CM55=TRUE, COUNTIFS($CM$16:CM55, TRUE), ""), "")</f>
        <v>40</v>
      </c>
      <c r="CP55" s="614" t="str">
        <f t="shared" si="126"/>
        <v>Non-Rural Private</v>
      </c>
      <c r="CY55" s="615"/>
      <c r="CZ55" s="616"/>
    </row>
    <row r="56" spans="2:104" x14ac:dyDescent="0.25">
      <c r="B56" s="617">
        <f t="shared" si="67"/>
        <v>41</v>
      </c>
      <c r="C56" s="593" t="s">
        <v>596</v>
      </c>
      <c r="D56" s="594" t="s">
        <v>596</v>
      </c>
      <c r="E56" s="594" t="s">
        <v>597</v>
      </c>
      <c r="F56" s="407" t="s">
        <v>598</v>
      </c>
      <c r="G56" s="408" t="s">
        <v>516</v>
      </c>
      <c r="H56" s="408" t="s">
        <v>22</v>
      </c>
      <c r="I56" s="408" t="s">
        <v>26</v>
      </c>
      <c r="J56" s="408" t="s">
        <v>35</v>
      </c>
      <c r="K56" s="408" t="s">
        <v>35</v>
      </c>
      <c r="L56" s="408" t="s">
        <v>35</v>
      </c>
      <c r="M56" s="408" t="s">
        <v>35</v>
      </c>
      <c r="N56" s="595" t="str">
        <f t="shared" si="84"/>
        <v>No</v>
      </c>
      <c r="O56" s="596">
        <v>15874</v>
      </c>
      <c r="P56" s="596">
        <v>65284</v>
      </c>
      <c r="Q56" s="597">
        <v>0.26602101064225436</v>
      </c>
      <c r="R56" s="596">
        <f t="shared" si="68"/>
        <v>17366.915658768932</v>
      </c>
      <c r="S56" s="596">
        <f t="shared" si="69"/>
        <v>33240.915658768936</v>
      </c>
      <c r="T56" s="596">
        <f t="shared" si="85"/>
        <v>33240.915658768936</v>
      </c>
      <c r="U56" s="598">
        <f t="shared" si="70"/>
        <v>7.7767892795837668E-3</v>
      </c>
      <c r="V56" s="599">
        <f t="shared" si="80"/>
        <v>0</v>
      </c>
      <c r="W56" s="600">
        <v>22996880.567945853</v>
      </c>
      <c r="X56" s="600">
        <v>0</v>
      </c>
      <c r="Y56" s="600">
        <v>2766932.39538569</v>
      </c>
      <c r="Z56" s="600">
        <f t="shared" si="71"/>
        <v>0</v>
      </c>
      <c r="AA56" s="600">
        <f t="shared" si="72"/>
        <v>22996880.567945853</v>
      </c>
      <c r="AB56" s="601">
        <f t="shared" si="86"/>
        <v>0</v>
      </c>
      <c r="AC56" s="599">
        <v>0</v>
      </c>
      <c r="AD56" s="599">
        <f>MAX(IF(M56="Yes",'Assumption Inputs'!$C$40,'Assumption Inputs'!$C$41),AC56)</f>
        <v>6000000</v>
      </c>
      <c r="AE56" s="599">
        <f t="shared" si="81"/>
        <v>6000000</v>
      </c>
      <c r="AF56" s="599">
        <f t="shared" si="87"/>
        <v>0</v>
      </c>
      <c r="AG56" s="599">
        <f t="shared" si="82"/>
        <v>0</v>
      </c>
      <c r="AH56" s="599">
        <f t="shared" si="83"/>
        <v>6000000</v>
      </c>
      <c r="AI56" s="599">
        <v>85057748.891411752</v>
      </c>
      <c r="AJ56" s="599">
        <v>68060868.323465914</v>
      </c>
      <c r="AK56" s="602">
        <f t="shared" si="74"/>
        <v>0.80017246177482593</v>
      </c>
      <c r="AL56" s="603">
        <f t="shared" si="25"/>
        <v>0</v>
      </c>
      <c r="AM56" s="600">
        <f t="shared" si="75"/>
        <v>6000000</v>
      </c>
      <c r="AN56" s="600">
        <f t="shared" si="88"/>
        <v>6000000</v>
      </c>
      <c r="AO56" s="600">
        <f t="shared" si="27"/>
        <v>0</v>
      </c>
      <c r="AP56" s="600">
        <f t="shared" si="28"/>
        <v>16996880.567945853</v>
      </c>
      <c r="AQ56" s="600">
        <f t="shared" si="76"/>
        <v>0</v>
      </c>
      <c r="AR56" s="600">
        <f t="shared" si="77"/>
        <v>6000000</v>
      </c>
      <c r="AS56" s="604">
        <f t="shared" si="89"/>
        <v>0</v>
      </c>
      <c r="AT56" s="605">
        <f t="shared" si="90"/>
        <v>0</v>
      </c>
      <c r="AU56" s="600">
        <f t="shared" si="91"/>
        <v>6000000</v>
      </c>
      <c r="AV56" s="600">
        <f t="shared" si="92"/>
        <v>6000000</v>
      </c>
      <c r="AW56" s="600">
        <f t="shared" si="93"/>
        <v>0</v>
      </c>
      <c r="AX56" s="600">
        <f t="shared" si="94"/>
        <v>16996880.567945853</v>
      </c>
      <c r="AY56" s="600">
        <f t="shared" si="95"/>
        <v>3.3442198640844678E-11</v>
      </c>
      <c r="AZ56" s="600">
        <f t="shared" si="96"/>
        <v>6000000</v>
      </c>
      <c r="BA56" s="600">
        <f t="shared" si="97"/>
        <v>0</v>
      </c>
      <c r="BB56" s="600">
        <f t="shared" si="98"/>
        <v>0</v>
      </c>
      <c r="BC56" s="600">
        <f t="shared" si="99"/>
        <v>0</v>
      </c>
      <c r="BD56" s="600">
        <f t="shared" si="100"/>
        <v>0</v>
      </c>
      <c r="BE56" s="600">
        <f t="shared" si="101"/>
        <v>16996880.567945853</v>
      </c>
      <c r="BF56" s="600">
        <f t="shared" si="102"/>
        <v>6000000</v>
      </c>
      <c r="BG56" s="600">
        <v>0</v>
      </c>
      <c r="BH56" s="600">
        <v>0</v>
      </c>
      <c r="BI56" s="600">
        <f t="shared" si="103"/>
        <v>0</v>
      </c>
      <c r="BJ56" s="600">
        <f t="shared" si="104"/>
        <v>6000000</v>
      </c>
      <c r="BK56" s="600">
        <f t="shared" si="105"/>
        <v>2107799.9999999995</v>
      </c>
      <c r="BL56" s="600">
        <v>6000000</v>
      </c>
      <c r="BM56" s="600">
        <f t="shared" si="106"/>
        <v>0</v>
      </c>
      <c r="BN56" s="600">
        <f t="shared" si="107"/>
        <v>0</v>
      </c>
      <c r="BO56" s="600">
        <f t="shared" si="108"/>
        <v>0</v>
      </c>
      <c r="BP56" s="600">
        <f t="shared" si="109"/>
        <v>2107799.9999999995</v>
      </c>
      <c r="BQ56" s="600">
        <f t="shared" si="110"/>
        <v>0</v>
      </c>
      <c r="BR56" s="600">
        <f t="shared" si="111"/>
        <v>0</v>
      </c>
      <c r="BT56" s="606">
        <f t="shared" si="112"/>
        <v>1</v>
      </c>
      <c r="BU56" s="607">
        <f t="shared" si="113"/>
        <v>0</v>
      </c>
      <c r="BV56" s="606">
        <f t="shared" si="114"/>
        <v>1</v>
      </c>
      <c r="BW56" s="607">
        <f t="shared" si="115"/>
        <v>0</v>
      </c>
      <c r="BX56" s="607">
        <f t="shared" si="116"/>
        <v>0</v>
      </c>
      <c r="BY56" s="607">
        <f t="shared" si="117"/>
        <v>0</v>
      </c>
      <c r="BZ56" s="607">
        <f t="shared" si="118"/>
        <v>0</v>
      </c>
      <c r="CA56" s="607">
        <f t="shared" si="119"/>
        <v>0</v>
      </c>
      <c r="CB56" s="607">
        <f t="shared" si="78"/>
        <v>0</v>
      </c>
      <c r="CC56" s="607">
        <f t="shared" si="120"/>
        <v>0</v>
      </c>
      <c r="CD56" s="607">
        <f t="shared" si="121"/>
        <v>0</v>
      </c>
      <c r="CE56" s="607">
        <f t="shared" si="122"/>
        <v>0</v>
      </c>
      <c r="CF56" s="607">
        <f t="shared" si="123"/>
        <v>0</v>
      </c>
      <c r="CG56" s="607">
        <f t="shared" si="124"/>
        <v>0</v>
      </c>
      <c r="CH56" s="607">
        <f t="shared" si="125"/>
        <v>6000000</v>
      </c>
      <c r="CI56" s="609"/>
      <c r="CK56" s="610" t="str">
        <f t="shared" si="79"/>
        <v/>
      </c>
      <c r="CL56" s="611" t="str">
        <f>IF(CK56="","",COUNTIFS($CK$16:CK56,"Yes")+MAX(State!AD:AD))</f>
        <v/>
      </c>
      <c r="CM56" s="612" t="b">
        <f>IF(C56="", "", AND(INDEX('Summary Dynamic'!$D$8:$D$10, MATCH(H56, 'Summary Dynamic'!$C$8:$C$10, 0))="Include", INDEX('Summary Dynamic'!$D$12:$D$14, MATCH(I56, 'Summary Dynamic'!$C$12:$C$14, 0))="Include", INDEX('Summary Dynamic'!$D$16:$D$17, MATCH(J56, 'Summary Dynamic'!$C$16:$C$17, 0))="Include", INDEX('Summary Dynamic'!$D$19:$D$20, MATCH(K56, 'Summary Dynamic'!$C$19:$C$20, 0))="Include", INDEX('Summary Dynamic'!$D$25:$D$26, MATCH(L56, 'Summary Dynamic'!$C$25:$C$26, 0))="Include",'Summary Dynamic'!$D$23="Include"))</f>
        <v>1</v>
      </c>
      <c r="CN56" s="613">
        <f>IFERROR(IF(CM56=TRUE, COUNTIFS($CM$16:CM56, TRUE), ""), "")</f>
        <v>41</v>
      </c>
      <c r="CP56" s="614" t="str">
        <f t="shared" si="126"/>
        <v>Non-Rural Private</v>
      </c>
      <c r="CY56" s="615"/>
      <c r="CZ56" s="616"/>
    </row>
    <row r="57" spans="2:104" x14ac:dyDescent="0.25">
      <c r="B57" s="617">
        <f t="shared" si="67"/>
        <v>42</v>
      </c>
      <c r="C57" s="593" t="s">
        <v>599</v>
      </c>
      <c r="D57" s="594" t="s">
        <v>599</v>
      </c>
      <c r="E57" s="594" t="s">
        <v>600</v>
      </c>
      <c r="F57" s="407" t="s">
        <v>601</v>
      </c>
      <c r="G57" s="408" t="s">
        <v>282</v>
      </c>
      <c r="H57" s="408" t="s">
        <v>22</v>
      </c>
      <c r="I57" s="408" t="s">
        <v>26</v>
      </c>
      <c r="J57" s="408" t="s">
        <v>35</v>
      </c>
      <c r="K57" s="408" t="s">
        <v>35</v>
      </c>
      <c r="L57" s="408" t="s">
        <v>35</v>
      </c>
      <c r="M57" s="408" t="s">
        <v>37</v>
      </c>
      <c r="N57" s="595" t="str">
        <f t="shared" si="84"/>
        <v>No</v>
      </c>
      <c r="O57" s="596">
        <v>21032</v>
      </c>
      <c r="P57" s="596">
        <v>170659</v>
      </c>
      <c r="Q57" s="597">
        <v>0.20796030448880948</v>
      </c>
      <c r="R57" s="596">
        <f t="shared" si="68"/>
        <v>35490.297603755738</v>
      </c>
      <c r="S57" s="596">
        <f t="shared" si="69"/>
        <v>56522.297603755738</v>
      </c>
      <c r="T57" s="596">
        <f t="shared" si="85"/>
        <v>56522.297603755738</v>
      </c>
      <c r="U57" s="598">
        <f t="shared" si="70"/>
        <v>1.3223522558000734E-2</v>
      </c>
      <c r="V57" s="599">
        <f t="shared" si="80"/>
        <v>0</v>
      </c>
      <c r="W57" s="600">
        <v>40395926.489571609</v>
      </c>
      <c r="X57" s="600">
        <v>0</v>
      </c>
      <c r="Y57" s="600">
        <v>29610252.319275662</v>
      </c>
      <c r="Z57" s="600">
        <f t="shared" si="71"/>
        <v>0</v>
      </c>
      <c r="AA57" s="600">
        <f t="shared" si="72"/>
        <v>40395926.489571609</v>
      </c>
      <c r="AB57" s="601">
        <f t="shared" si="86"/>
        <v>0</v>
      </c>
      <c r="AC57" s="599">
        <v>0</v>
      </c>
      <c r="AD57" s="599">
        <f>MAX(IF(M57="Yes",'Assumption Inputs'!$C$40,'Assumption Inputs'!$C$41),AC57)</f>
        <v>8000000</v>
      </c>
      <c r="AE57" s="599">
        <f t="shared" si="81"/>
        <v>8000000</v>
      </c>
      <c r="AF57" s="599">
        <f t="shared" si="87"/>
        <v>0</v>
      </c>
      <c r="AG57" s="599">
        <f t="shared" si="82"/>
        <v>0</v>
      </c>
      <c r="AH57" s="599">
        <f t="shared" si="83"/>
        <v>8000000</v>
      </c>
      <c r="AI57" s="599">
        <v>150345550.42668784</v>
      </c>
      <c r="AJ57" s="599">
        <v>117949623.93711622</v>
      </c>
      <c r="AK57" s="602">
        <f t="shared" si="74"/>
        <v>0.7845235432799279</v>
      </c>
      <c r="AL57" s="603">
        <f t="shared" si="25"/>
        <v>0</v>
      </c>
      <c r="AM57" s="600">
        <f t="shared" si="75"/>
        <v>8000000</v>
      </c>
      <c r="AN57" s="600">
        <f t="shared" si="88"/>
        <v>8000000</v>
      </c>
      <c r="AO57" s="600">
        <f t="shared" si="27"/>
        <v>0</v>
      </c>
      <c r="AP57" s="600">
        <f t="shared" si="28"/>
        <v>32395926.489571609</v>
      </c>
      <c r="AQ57" s="600">
        <f t="shared" si="76"/>
        <v>0</v>
      </c>
      <c r="AR57" s="600">
        <f t="shared" si="77"/>
        <v>8000000</v>
      </c>
      <c r="AS57" s="604">
        <f t="shared" si="89"/>
        <v>0</v>
      </c>
      <c r="AT57" s="605">
        <f t="shared" si="90"/>
        <v>0</v>
      </c>
      <c r="AU57" s="600">
        <f t="shared" si="91"/>
        <v>8000000</v>
      </c>
      <c r="AV57" s="600">
        <f t="shared" si="92"/>
        <v>8000000</v>
      </c>
      <c r="AW57" s="600">
        <f t="shared" si="93"/>
        <v>0</v>
      </c>
      <c r="AX57" s="600">
        <f t="shared" si="94"/>
        <v>32395926.489571609</v>
      </c>
      <c r="AY57" s="600">
        <f t="shared" si="95"/>
        <v>6.374057901316349E-11</v>
      </c>
      <c r="AZ57" s="600">
        <f t="shared" si="96"/>
        <v>8000000</v>
      </c>
      <c r="BA57" s="600">
        <f t="shared" si="97"/>
        <v>0</v>
      </c>
      <c r="BB57" s="600">
        <f t="shared" si="98"/>
        <v>0</v>
      </c>
      <c r="BC57" s="600">
        <f t="shared" si="99"/>
        <v>0</v>
      </c>
      <c r="BD57" s="600">
        <f t="shared" si="100"/>
        <v>0</v>
      </c>
      <c r="BE57" s="600">
        <f t="shared" si="101"/>
        <v>32395926.489571609</v>
      </c>
      <c r="BF57" s="600">
        <f t="shared" si="102"/>
        <v>8000000</v>
      </c>
      <c r="BG57" s="600">
        <v>0</v>
      </c>
      <c r="BH57" s="600">
        <v>0</v>
      </c>
      <c r="BI57" s="600">
        <f t="shared" si="103"/>
        <v>0</v>
      </c>
      <c r="BJ57" s="600">
        <f t="shared" si="104"/>
        <v>8000000</v>
      </c>
      <c r="BK57" s="600">
        <f t="shared" si="105"/>
        <v>2810399.9999999995</v>
      </c>
      <c r="BL57" s="600">
        <v>8000000</v>
      </c>
      <c r="BM57" s="600">
        <f t="shared" si="106"/>
        <v>0</v>
      </c>
      <c r="BN57" s="600">
        <f t="shared" si="107"/>
        <v>0</v>
      </c>
      <c r="BO57" s="600">
        <f t="shared" si="108"/>
        <v>0</v>
      </c>
      <c r="BP57" s="600">
        <f t="shared" si="109"/>
        <v>2810399.9999999995</v>
      </c>
      <c r="BQ57" s="600">
        <f t="shared" si="110"/>
        <v>0</v>
      </c>
      <c r="BR57" s="600">
        <f t="shared" si="111"/>
        <v>0</v>
      </c>
      <c r="BT57" s="606">
        <f t="shared" si="112"/>
        <v>1</v>
      </c>
      <c r="BU57" s="607">
        <f t="shared" si="113"/>
        <v>0</v>
      </c>
      <c r="BV57" s="606">
        <f t="shared" si="114"/>
        <v>1</v>
      </c>
      <c r="BW57" s="607">
        <f t="shared" si="115"/>
        <v>0</v>
      </c>
      <c r="BX57" s="607">
        <f t="shared" si="116"/>
        <v>0</v>
      </c>
      <c r="BY57" s="607">
        <f t="shared" si="117"/>
        <v>0</v>
      </c>
      <c r="BZ57" s="607">
        <f t="shared" si="118"/>
        <v>0</v>
      </c>
      <c r="CA57" s="607">
        <f t="shared" si="119"/>
        <v>0</v>
      </c>
      <c r="CB57" s="607">
        <f t="shared" si="78"/>
        <v>0</v>
      </c>
      <c r="CC57" s="607">
        <f t="shared" si="120"/>
        <v>0</v>
      </c>
      <c r="CD57" s="607">
        <f t="shared" si="121"/>
        <v>0</v>
      </c>
      <c r="CE57" s="607">
        <f t="shared" si="122"/>
        <v>0</v>
      </c>
      <c r="CF57" s="607">
        <f t="shared" si="123"/>
        <v>0</v>
      </c>
      <c r="CG57" s="607">
        <f t="shared" si="124"/>
        <v>0</v>
      </c>
      <c r="CH57" s="607">
        <f t="shared" si="125"/>
        <v>8000000</v>
      </c>
      <c r="CI57" s="609"/>
      <c r="CK57" s="610" t="str">
        <f t="shared" si="79"/>
        <v/>
      </c>
      <c r="CL57" s="611" t="str">
        <f>IF(CK57="","",COUNTIFS($CK$16:CK57,"Yes")+MAX(State!AD:AD))</f>
        <v/>
      </c>
      <c r="CM57" s="612" t="b">
        <f>IF(C57="", "", AND(INDEX('Summary Dynamic'!$D$8:$D$10, MATCH(H57, 'Summary Dynamic'!$C$8:$C$10, 0))="Include", INDEX('Summary Dynamic'!$D$12:$D$14, MATCH(I57, 'Summary Dynamic'!$C$12:$C$14, 0))="Include", INDEX('Summary Dynamic'!$D$16:$D$17, MATCH(J57, 'Summary Dynamic'!$C$16:$C$17, 0))="Include", INDEX('Summary Dynamic'!$D$19:$D$20, MATCH(K57, 'Summary Dynamic'!$C$19:$C$20, 0))="Include", INDEX('Summary Dynamic'!$D$25:$D$26, MATCH(L57, 'Summary Dynamic'!$C$25:$C$26, 0))="Include",'Summary Dynamic'!$D$23="Include"))</f>
        <v>1</v>
      </c>
      <c r="CN57" s="613">
        <f>IFERROR(IF(CM57=TRUE, COUNTIFS($CM$16:CM57, TRUE), ""), "")</f>
        <v>42</v>
      </c>
      <c r="CP57" s="614" t="str">
        <f t="shared" si="126"/>
        <v>Non-Rural Private</v>
      </c>
      <c r="CY57" s="615"/>
      <c r="CZ57" s="616"/>
    </row>
    <row r="58" spans="2:104" x14ac:dyDescent="0.25">
      <c r="B58" s="617">
        <f t="shared" si="67"/>
        <v>43</v>
      </c>
      <c r="C58" s="593" t="s">
        <v>602</v>
      </c>
      <c r="D58" s="594" t="s">
        <v>602</v>
      </c>
      <c r="E58" s="594" t="s">
        <v>603</v>
      </c>
      <c r="F58" s="407" t="s">
        <v>604</v>
      </c>
      <c r="G58" s="408" t="s">
        <v>314</v>
      </c>
      <c r="H58" s="408" t="s">
        <v>22</v>
      </c>
      <c r="I58" s="408" t="s">
        <v>26</v>
      </c>
      <c r="J58" s="408" t="s">
        <v>35</v>
      </c>
      <c r="K58" s="408" t="s">
        <v>37</v>
      </c>
      <c r="L58" s="408" t="s">
        <v>37</v>
      </c>
      <c r="M58" s="408" t="s">
        <v>35</v>
      </c>
      <c r="N58" s="595" t="str">
        <f t="shared" si="84"/>
        <v>No</v>
      </c>
      <c r="O58" s="596">
        <v>12470</v>
      </c>
      <c r="P58" s="596">
        <v>19215</v>
      </c>
      <c r="Q58" s="597">
        <v>0.64596358745211446</v>
      </c>
      <c r="R58" s="596">
        <f t="shared" si="68"/>
        <v>12412.19033289238</v>
      </c>
      <c r="S58" s="596">
        <f t="shared" si="69"/>
        <v>24882.19033289238</v>
      </c>
      <c r="T58" s="596">
        <f t="shared" si="85"/>
        <v>24882.19033289238</v>
      </c>
      <c r="U58" s="598">
        <f t="shared" si="70"/>
        <v>5.8212461118637739E-3</v>
      </c>
      <c r="V58" s="599">
        <f t="shared" si="80"/>
        <v>0</v>
      </c>
      <c r="W58" s="600">
        <v>1246124.7014026276</v>
      </c>
      <c r="X58" s="600">
        <v>0</v>
      </c>
      <c r="Y58" s="600">
        <v>1492644.600801351</v>
      </c>
      <c r="Z58" s="600">
        <f t="shared" si="71"/>
        <v>0</v>
      </c>
      <c r="AA58" s="600">
        <f t="shared" si="72"/>
        <v>1246124.7014026276</v>
      </c>
      <c r="AB58" s="601">
        <f t="shared" si="86"/>
        <v>0</v>
      </c>
      <c r="AC58" s="599">
        <v>897690.28490757465</v>
      </c>
      <c r="AD58" s="599">
        <f>MAX(IF(M58="Yes",'Assumption Inputs'!$C$40,'Assumption Inputs'!$C$41),AC58)</f>
        <v>6000000</v>
      </c>
      <c r="AE58" s="599">
        <f t="shared" si="81"/>
        <v>808361.09379988466</v>
      </c>
      <c r="AF58" s="599">
        <f t="shared" si="87"/>
        <v>0</v>
      </c>
      <c r="AG58" s="599">
        <f t="shared" si="82"/>
        <v>0</v>
      </c>
      <c r="AH58" s="599">
        <f t="shared" si="83"/>
        <v>808361.09379988466</v>
      </c>
      <c r="AI58" s="599">
        <v>15804563.678132974</v>
      </c>
      <c r="AJ58" s="599">
        <v>15366800.07053023</v>
      </c>
      <c r="AK58" s="602">
        <f t="shared" si="74"/>
        <v>0.97230144301873844</v>
      </c>
      <c r="AL58" s="603">
        <f t="shared" si="25"/>
        <v>0</v>
      </c>
      <c r="AM58" s="600">
        <f t="shared" si="75"/>
        <v>808361.09379988466</v>
      </c>
      <c r="AN58" s="600">
        <f t="shared" si="88"/>
        <v>808361.09379988466</v>
      </c>
      <c r="AO58" s="600">
        <f t="shared" si="27"/>
        <v>0</v>
      </c>
      <c r="AP58" s="600">
        <f t="shared" si="28"/>
        <v>437763.60760274297</v>
      </c>
      <c r="AQ58" s="600">
        <f t="shared" si="76"/>
        <v>0</v>
      </c>
      <c r="AR58" s="600">
        <f t="shared" si="77"/>
        <v>808361.09379988466</v>
      </c>
      <c r="AS58" s="604">
        <f t="shared" si="89"/>
        <v>0</v>
      </c>
      <c r="AT58" s="605">
        <f t="shared" si="90"/>
        <v>0</v>
      </c>
      <c r="AU58" s="600">
        <f t="shared" si="91"/>
        <v>808361.09379988466</v>
      </c>
      <c r="AV58" s="600">
        <f t="shared" si="92"/>
        <v>808361.09379988466</v>
      </c>
      <c r="AW58" s="600">
        <f t="shared" si="93"/>
        <v>0</v>
      </c>
      <c r="AX58" s="600">
        <f t="shared" si="94"/>
        <v>437763.60760274297</v>
      </c>
      <c r="AY58" s="600">
        <f t="shared" si="95"/>
        <v>8.6132143275705757E-13</v>
      </c>
      <c r="AZ58" s="600">
        <f t="shared" si="96"/>
        <v>808361.09379988466</v>
      </c>
      <c r="BA58" s="600">
        <f t="shared" si="97"/>
        <v>0</v>
      </c>
      <c r="BB58" s="600">
        <f t="shared" si="98"/>
        <v>0</v>
      </c>
      <c r="BC58" s="600">
        <f t="shared" si="99"/>
        <v>0</v>
      </c>
      <c r="BD58" s="600">
        <f t="shared" si="100"/>
        <v>0</v>
      </c>
      <c r="BE58" s="600">
        <f t="shared" si="101"/>
        <v>437763.60760274297</v>
      </c>
      <c r="BF58" s="600">
        <f t="shared" si="102"/>
        <v>808361.09379988466</v>
      </c>
      <c r="BG58" s="600">
        <v>0</v>
      </c>
      <c r="BH58" s="600">
        <v>0</v>
      </c>
      <c r="BI58" s="600">
        <f t="shared" si="103"/>
        <v>0</v>
      </c>
      <c r="BJ58" s="600">
        <f t="shared" si="104"/>
        <v>808361.09</v>
      </c>
      <c r="BK58" s="600">
        <f t="shared" si="105"/>
        <v>283977.25091699994</v>
      </c>
      <c r="BL58" s="600">
        <v>808361.09</v>
      </c>
      <c r="BM58" s="600">
        <f t="shared" si="106"/>
        <v>0</v>
      </c>
      <c r="BN58" s="600">
        <f t="shared" si="107"/>
        <v>0</v>
      </c>
      <c r="BO58" s="600">
        <f t="shared" si="108"/>
        <v>0</v>
      </c>
      <c r="BP58" s="600">
        <f t="shared" si="109"/>
        <v>283977.25091699994</v>
      </c>
      <c r="BQ58" s="600">
        <f t="shared" si="110"/>
        <v>0</v>
      </c>
      <c r="BR58" s="600">
        <f t="shared" si="111"/>
        <v>0</v>
      </c>
      <c r="BT58" s="606">
        <f t="shared" si="112"/>
        <v>1</v>
      </c>
      <c r="BU58" s="607">
        <f t="shared" si="113"/>
        <v>0</v>
      </c>
      <c r="BV58" s="606">
        <f t="shared" si="114"/>
        <v>1</v>
      </c>
      <c r="BW58" s="607">
        <f t="shared" si="115"/>
        <v>0</v>
      </c>
      <c r="BX58" s="607">
        <f t="shared" si="116"/>
        <v>0</v>
      </c>
      <c r="BY58" s="607">
        <f t="shared" si="117"/>
        <v>0</v>
      </c>
      <c r="BZ58" s="607">
        <f t="shared" si="118"/>
        <v>0</v>
      </c>
      <c r="CA58" s="607">
        <f t="shared" si="119"/>
        <v>0</v>
      </c>
      <c r="CB58" s="607">
        <f t="shared" si="78"/>
        <v>0</v>
      </c>
      <c r="CC58" s="607">
        <f t="shared" si="120"/>
        <v>0</v>
      </c>
      <c r="CD58" s="607">
        <f t="shared" si="121"/>
        <v>0</v>
      </c>
      <c r="CE58" s="607">
        <f t="shared" si="122"/>
        <v>0</v>
      </c>
      <c r="CF58" s="607">
        <f t="shared" si="123"/>
        <v>0</v>
      </c>
      <c r="CG58" s="607">
        <f t="shared" si="124"/>
        <v>0</v>
      </c>
      <c r="CH58" s="607">
        <f t="shared" si="125"/>
        <v>808361.09</v>
      </c>
      <c r="CI58" s="609"/>
      <c r="CK58" s="610" t="str">
        <f t="shared" si="79"/>
        <v/>
      </c>
      <c r="CL58" s="611" t="str">
        <f>IF(CK58="","",COUNTIFS($CK$16:CK58,"Yes")+MAX(State!AD:AD))</f>
        <v/>
      </c>
      <c r="CM58" s="612" t="b">
        <f>IF(C58="", "", AND(INDEX('Summary Dynamic'!$D$8:$D$10, MATCH(H58, 'Summary Dynamic'!$C$8:$C$10, 0))="Include", INDEX('Summary Dynamic'!$D$12:$D$14, MATCH(I58, 'Summary Dynamic'!$C$12:$C$14, 0))="Include", INDEX('Summary Dynamic'!$D$16:$D$17, MATCH(J58, 'Summary Dynamic'!$C$16:$C$17, 0))="Include", INDEX('Summary Dynamic'!$D$19:$D$20, MATCH(K58, 'Summary Dynamic'!$C$19:$C$20, 0))="Include", INDEX('Summary Dynamic'!$D$25:$D$26, MATCH(L58, 'Summary Dynamic'!$C$25:$C$26, 0))="Include",'Summary Dynamic'!$D$23="Include"))</f>
        <v>1</v>
      </c>
      <c r="CN58" s="613">
        <f>IFERROR(IF(CM58=TRUE, COUNTIFS($CM$16:CM58, TRUE), ""), "")</f>
        <v>43</v>
      </c>
      <c r="CP58" s="614" t="str">
        <f t="shared" si="126"/>
        <v>Children's Hospital</v>
      </c>
      <c r="CY58" s="615"/>
      <c r="CZ58" s="616"/>
    </row>
    <row r="59" spans="2:104" x14ac:dyDescent="0.25">
      <c r="B59" s="617">
        <f t="shared" si="67"/>
        <v>44</v>
      </c>
      <c r="C59" s="593" t="s">
        <v>605</v>
      </c>
      <c r="D59" s="594" t="s">
        <v>605</v>
      </c>
      <c r="E59" s="594" t="s">
        <v>606</v>
      </c>
      <c r="F59" s="407" t="s">
        <v>607</v>
      </c>
      <c r="G59" s="408" t="s">
        <v>608</v>
      </c>
      <c r="H59" s="408" t="s">
        <v>22</v>
      </c>
      <c r="I59" s="408" t="s">
        <v>26</v>
      </c>
      <c r="J59" s="408" t="s">
        <v>35</v>
      </c>
      <c r="K59" s="408" t="s">
        <v>35</v>
      </c>
      <c r="L59" s="408" t="s">
        <v>37</v>
      </c>
      <c r="M59" s="408" t="s">
        <v>35</v>
      </c>
      <c r="N59" s="595" t="str">
        <f t="shared" si="84"/>
        <v>No</v>
      </c>
      <c r="O59" s="596">
        <v>5275</v>
      </c>
      <c r="P59" s="596">
        <v>16838</v>
      </c>
      <c r="Q59" s="597">
        <v>0.52461204876446665</v>
      </c>
      <c r="R59" s="596">
        <f t="shared" si="68"/>
        <v>8833.4176770960894</v>
      </c>
      <c r="S59" s="596">
        <f t="shared" si="69"/>
        <v>14108.417677096089</v>
      </c>
      <c r="T59" s="596">
        <f t="shared" si="85"/>
        <v>14108.417677096089</v>
      </c>
      <c r="U59" s="598">
        <f t="shared" si="70"/>
        <v>3.3006970225920168E-3</v>
      </c>
      <c r="V59" s="599">
        <f t="shared" si="80"/>
        <v>0</v>
      </c>
      <c r="W59" s="600">
        <v>3495524.1340673734</v>
      </c>
      <c r="X59" s="600">
        <v>0</v>
      </c>
      <c r="Y59" s="600">
        <v>0</v>
      </c>
      <c r="Z59" s="600">
        <f t="shared" si="71"/>
        <v>0</v>
      </c>
      <c r="AA59" s="600">
        <f t="shared" si="72"/>
        <v>3495524.1340673734</v>
      </c>
      <c r="AB59" s="601">
        <f t="shared" si="86"/>
        <v>0</v>
      </c>
      <c r="AC59" s="599">
        <v>197264.73952315628</v>
      </c>
      <c r="AD59" s="599">
        <f>MAX(IF(M59="Yes",'Assumption Inputs'!$C$40,'Assumption Inputs'!$C$41),AC59)</f>
        <v>6000000</v>
      </c>
      <c r="AE59" s="599">
        <f t="shared" si="81"/>
        <v>2267546.5057695052</v>
      </c>
      <c r="AF59" s="599">
        <f t="shared" si="87"/>
        <v>0</v>
      </c>
      <c r="AG59" s="599">
        <f t="shared" si="82"/>
        <v>0</v>
      </c>
      <c r="AH59" s="599">
        <f t="shared" si="83"/>
        <v>2267546.5057695052</v>
      </c>
      <c r="AI59" s="599">
        <v>6830031.2827751078</v>
      </c>
      <c r="AJ59" s="599">
        <v>5602053.6544772405</v>
      </c>
      <c r="AK59" s="602">
        <f t="shared" si="74"/>
        <v>0.8202090770221292</v>
      </c>
      <c r="AL59" s="603">
        <f t="shared" si="25"/>
        <v>0</v>
      </c>
      <c r="AM59" s="600">
        <f t="shared" si="75"/>
        <v>2267546.5057695052</v>
      </c>
      <c r="AN59" s="600">
        <f t="shared" si="88"/>
        <v>2267546.5057695052</v>
      </c>
      <c r="AO59" s="600">
        <f t="shared" si="27"/>
        <v>0</v>
      </c>
      <c r="AP59" s="600">
        <f t="shared" si="28"/>
        <v>1227977.6282978682</v>
      </c>
      <c r="AQ59" s="600">
        <f t="shared" si="76"/>
        <v>0</v>
      </c>
      <c r="AR59" s="600">
        <f t="shared" si="77"/>
        <v>2267546.5057695052</v>
      </c>
      <c r="AS59" s="604">
        <f t="shared" si="89"/>
        <v>0</v>
      </c>
      <c r="AT59" s="605">
        <f t="shared" si="90"/>
        <v>0</v>
      </c>
      <c r="AU59" s="600">
        <f t="shared" si="91"/>
        <v>2267546.5057695052</v>
      </c>
      <c r="AV59" s="600">
        <f t="shared" si="92"/>
        <v>2267546.5057695052</v>
      </c>
      <c r="AW59" s="600">
        <f t="shared" si="93"/>
        <v>0</v>
      </c>
      <c r="AX59" s="600">
        <f t="shared" si="94"/>
        <v>1227977.6282978682</v>
      </c>
      <c r="AY59" s="600">
        <f t="shared" si="95"/>
        <v>2.4161063912808134E-12</v>
      </c>
      <c r="AZ59" s="600">
        <f t="shared" si="96"/>
        <v>2267546.5057695052</v>
      </c>
      <c r="BA59" s="600">
        <f t="shared" si="97"/>
        <v>0</v>
      </c>
      <c r="BB59" s="600">
        <f t="shared" si="98"/>
        <v>0</v>
      </c>
      <c r="BC59" s="600">
        <f t="shared" si="99"/>
        <v>0</v>
      </c>
      <c r="BD59" s="600">
        <f t="shared" si="100"/>
        <v>0</v>
      </c>
      <c r="BE59" s="600">
        <f t="shared" si="101"/>
        <v>1227977.6282978682</v>
      </c>
      <c r="BF59" s="600">
        <f t="shared" si="102"/>
        <v>2267546.5057695052</v>
      </c>
      <c r="BG59" s="600">
        <v>0</v>
      </c>
      <c r="BH59" s="600">
        <v>0</v>
      </c>
      <c r="BI59" s="600">
        <f t="shared" si="103"/>
        <v>0</v>
      </c>
      <c r="BJ59" s="600">
        <f t="shared" si="104"/>
        <v>2267546.5099999998</v>
      </c>
      <c r="BK59" s="600">
        <f t="shared" si="105"/>
        <v>796589.08896299975</v>
      </c>
      <c r="BL59" s="600">
        <v>2267546.5099999998</v>
      </c>
      <c r="BM59" s="600">
        <f t="shared" si="106"/>
        <v>0</v>
      </c>
      <c r="BN59" s="600">
        <f t="shared" si="107"/>
        <v>0</v>
      </c>
      <c r="BO59" s="600">
        <f t="shared" si="108"/>
        <v>0</v>
      </c>
      <c r="BP59" s="600">
        <f t="shared" si="109"/>
        <v>796589.08896299975</v>
      </c>
      <c r="BQ59" s="600">
        <f t="shared" si="110"/>
        <v>0</v>
      </c>
      <c r="BR59" s="600">
        <f t="shared" si="111"/>
        <v>0</v>
      </c>
      <c r="BT59" s="606">
        <f t="shared" si="112"/>
        <v>1</v>
      </c>
      <c r="BU59" s="607">
        <f t="shared" si="113"/>
        <v>0</v>
      </c>
      <c r="BV59" s="606">
        <f t="shared" si="114"/>
        <v>1</v>
      </c>
      <c r="BW59" s="607">
        <f t="shared" si="115"/>
        <v>0</v>
      </c>
      <c r="BX59" s="607">
        <f t="shared" si="116"/>
        <v>0</v>
      </c>
      <c r="BY59" s="607">
        <f t="shared" si="117"/>
        <v>0</v>
      </c>
      <c r="BZ59" s="607">
        <f t="shared" si="118"/>
        <v>0</v>
      </c>
      <c r="CA59" s="607">
        <f t="shared" si="119"/>
        <v>0</v>
      </c>
      <c r="CB59" s="607">
        <f t="shared" si="78"/>
        <v>0</v>
      </c>
      <c r="CC59" s="607">
        <f t="shared" si="120"/>
        <v>0</v>
      </c>
      <c r="CD59" s="607">
        <f t="shared" si="121"/>
        <v>0</v>
      </c>
      <c r="CE59" s="607">
        <f t="shared" si="122"/>
        <v>0</v>
      </c>
      <c r="CF59" s="607">
        <f t="shared" si="123"/>
        <v>0</v>
      </c>
      <c r="CG59" s="607">
        <f t="shared" si="124"/>
        <v>0</v>
      </c>
      <c r="CH59" s="607">
        <f t="shared" si="125"/>
        <v>2267546.5099999998</v>
      </c>
      <c r="CI59" s="609"/>
      <c r="CK59" s="610" t="str">
        <f t="shared" si="79"/>
        <v/>
      </c>
      <c r="CL59" s="611" t="str">
        <f>IF(CK59="","",COUNTIFS($CK$16:CK59,"Yes")+MAX(State!AD:AD))</f>
        <v/>
      </c>
      <c r="CM59" s="612" t="b">
        <f>IF(C59="", "", AND(INDEX('Summary Dynamic'!$D$8:$D$10, MATCH(H59, 'Summary Dynamic'!$C$8:$C$10, 0))="Include", INDEX('Summary Dynamic'!$D$12:$D$14, MATCH(I59, 'Summary Dynamic'!$C$12:$C$14, 0))="Include", INDEX('Summary Dynamic'!$D$16:$D$17, MATCH(J59, 'Summary Dynamic'!$C$16:$C$17, 0))="Include", INDEX('Summary Dynamic'!$D$19:$D$20, MATCH(K59, 'Summary Dynamic'!$C$19:$C$20, 0))="Include", INDEX('Summary Dynamic'!$D$25:$D$26, MATCH(L59, 'Summary Dynamic'!$C$25:$C$26, 0))="Include",'Summary Dynamic'!$D$23="Include"))</f>
        <v>1</v>
      </c>
      <c r="CN59" s="613">
        <f>IFERROR(IF(CM59=TRUE, COUNTIFS($CM$16:CM59, TRUE), ""), "")</f>
        <v>44</v>
      </c>
      <c r="CP59" s="614" t="str">
        <f t="shared" si="126"/>
        <v>Non-Rural Private</v>
      </c>
      <c r="CY59" s="615"/>
      <c r="CZ59" s="616"/>
    </row>
    <row r="60" spans="2:104" x14ac:dyDescent="0.25">
      <c r="B60" s="617">
        <f t="shared" si="67"/>
        <v>45</v>
      </c>
      <c r="C60" s="593" t="s">
        <v>609</v>
      </c>
      <c r="D60" s="594" t="s">
        <v>609</v>
      </c>
      <c r="E60" s="594" t="s">
        <v>610</v>
      </c>
      <c r="F60" s="407" t="s">
        <v>611</v>
      </c>
      <c r="G60" s="408" t="s">
        <v>612</v>
      </c>
      <c r="H60" s="408" t="s">
        <v>22</v>
      </c>
      <c r="I60" s="408" t="s">
        <v>26</v>
      </c>
      <c r="J60" s="408" t="s">
        <v>35</v>
      </c>
      <c r="K60" s="408" t="s">
        <v>35</v>
      </c>
      <c r="L60" s="408" t="s">
        <v>37</v>
      </c>
      <c r="M60" s="408" t="s">
        <v>35</v>
      </c>
      <c r="N60" s="595" t="str">
        <f t="shared" si="84"/>
        <v>No</v>
      </c>
      <c r="O60" s="596">
        <v>3903</v>
      </c>
      <c r="P60" s="596">
        <v>17451</v>
      </c>
      <c r="Q60" s="597">
        <v>0.42752718411517043</v>
      </c>
      <c r="R60" s="596">
        <f t="shared" si="68"/>
        <v>7460.7768899938392</v>
      </c>
      <c r="S60" s="596">
        <f t="shared" si="69"/>
        <v>11363.776889993838</v>
      </c>
      <c r="T60" s="596">
        <f t="shared" si="85"/>
        <v>11363.776889993838</v>
      </c>
      <c r="U60" s="598">
        <f t="shared" si="70"/>
        <v>2.6585819476477902E-3</v>
      </c>
      <c r="V60" s="599">
        <f t="shared" si="80"/>
        <v>0</v>
      </c>
      <c r="W60" s="600">
        <v>3230041.0082686343</v>
      </c>
      <c r="X60" s="600">
        <v>0</v>
      </c>
      <c r="Y60" s="600">
        <v>10425.99429586</v>
      </c>
      <c r="Z60" s="600">
        <f t="shared" si="71"/>
        <v>0</v>
      </c>
      <c r="AA60" s="600">
        <f t="shared" si="72"/>
        <v>3230041.0082686343</v>
      </c>
      <c r="AB60" s="601">
        <f t="shared" si="86"/>
        <v>0</v>
      </c>
      <c r="AC60" s="599">
        <v>0</v>
      </c>
      <c r="AD60" s="599">
        <f>MAX(IF(M60="Yes",'Assumption Inputs'!$C$40,'Assumption Inputs'!$C$41),AC60)</f>
        <v>6000000</v>
      </c>
      <c r="AE60" s="599">
        <f t="shared" si="81"/>
        <v>2095327.6020638633</v>
      </c>
      <c r="AF60" s="599">
        <f t="shared" si="87"/>
        <v>0</v>
      </c>
      <c r="AG60" s="599">
        <f t="shared" si="82"/>
        <v>0</v>
      </c>
      <c r="AH60" s="599">
        <f t="shared" si="83"/>
        <v>2095327.6020638633</v>
      </c>
      <c r="AI60" s="599">
        <v>6430832.1603755131</v>
      </c>
      <c r="AJ60" s="599">
        <v>5296118.7541707428</v>
      </c>
      <c r="AK60" s="602">
        <f t="shared" si="74"/>
        <v>0.82355107738676991</v>
      </c>
      <c r="AL60" s="603">
        <f t="shared" si="25"/>
        <v>0</v>
      </c>
      <c r="AM60" s="600">
        <f t="shared" si="75"/>
        <v>2095327.6020638633</v>
      </c>
      <c r="AN60" s="600">
        <f t="shared" si="88"/>
        <v>2095327.6020638633</v>
      </c>
      <c r="AO60" s="600">
        <f t="shared" si="27"/>
        <v>0</v>
      </c>
      <c r="AP60" s="600">
        <f t="shared" si="28"/>
        <v>1134713.406204771</v>
      </c>
      <c r="AQ60" s="600">
        <f t="shared" si="76"/>
        <v>0</v>
      </c>
      <c r="AR60" s="600">
        <f t="shared" si="77"/>
        <v>2095327.6020638633</v>
      </c>
      <c r="AS60" s="604">
        <f t="shared" si="89"/>
        <v>0</v>
      </c>
      <c r="AT60" s="605">
        <f t="shared" si="90"/>
        <v>0</v>
      </c>
      <c r="AU60" s="600">
        <f t="shared" si="91"/>
        <v>2095327.6020638633</v>
      </c>
      <c r="AV60" s="600">
        <f t="shared" si="92"/>
        <v>2095327.6020638633</v>
      </c>
      <c r="AW60" s="600">
        <f t="shared" si="93"/>
        <v>0</v>
      </c>
      <c r="AX60" s="600">
        <f t="shared" si="94"/>
        <v>1134713.406204771</v>
      </c>
      <c r="AY60" s="600">
        <f t="shared" si="95"/>
        <v>2.2326044463884545E-12</v>
      </c>
      <c r="AZ60" s="600">
        <f t="shared" si="96"/>
        <v>2095327.6020638633</v>
      </c>
      <c r="BA60" s="600">
        <f t="shared" si="97"/>
        <v>0</v>
      </c>
      <c r="BB60" s="600">
        <f t="shared" si="98"/>
        <v>0</v>
      </c>
      <c r="BC60" s="600">
        <f t="shared" si="99"/>
        <v>0</v>
      </c>
      <c r="BD60" s="600">
        <f t="shared" si="100"/>
        <v>0</v>
      </c>
      <c r="BE60" s="600">
        <f t="shared" si="101"/>
        <v>1134713.406204771</v>
      </c>
      <c r="BF60" s="600">
        <f t="shared" si="102"/>
        <v>2095327.6020638633</v>
      </c>
      <c r="BG60" s="600">
        <v>0</v>
      </c>
      <c r="BH60" s="600">
        <v>0</v>
      </c>
      <c r="BI60" s="600">
        <f t="shared" si="103"/>
        <v>0</v>
      </c>
      <c r="BJ60" s="600">
        <f t="shared" si="104"/>
        <v>2095327.6</v>
      </c>
      <c r="BK60" s="600">
        <f t="shared" si="105"/>
        <v>736088.58587999991</v>
      </c>
      <c r="BL60" s="600">
        <v>2095327.6</v>
      </c>
      <c r="BM60" s="600">
        <f t="shared" si="106"/>
        <v>0</v>
      </c>
      <c r="BN60" s="600">
        <f t="shared" si="107"/>
        <v>0</v>
      </c>
      <c r="BO60" s="600">
        <f t="shared" si="108"/>
        <v>0</v>
      </c>
      <c r="BP60" s="600">
        <f t="shared" si="109"/>
        <v>736088.58587999991</v>
      </c>
      <c r="BQ60" s="600">
        <f t="shared" si="110"/>
        <v>0</v>
      </c>
      <c r="BR60" s="600">
        <f t="shared" si="111"/>
        <v>0</v>
      </c>
      <c r="BT60" s="606">
        <f t="shared" si="112"/>
        <v>1</v>
      </c>
      <c r="BU60" s="607">
        <f t="shared" si="113"/>
        <v>0</v>
      </c>
      <c r="BV60" s="606">
        <f t="shared" si="114"/>
        <v>1</v>
      </c>
      <c r="BW60" s="607">
        <f t="shared" si="115"/>
        <v>0</v>
      </c>
      <c r="BX60" s="607">
        <f t="shared" si="116"/>
        <v>0</v>
      </c>
      <c r="BY60" s="607">
        <f t="shared" si="117"/>
        <v>0</v>
      </c>
      <c r="BZ60" s="607">
        <f t="shared" si="118"/>
        <v>0</v>
      </c>
      <c r="CA60" s="607">
        <f t="shared" si="119"/>
        <v>0</v>
      </c>
      <c r="CB60" s="607">
        <f t="shared" si="78"/>
        <v>0</v>
      </c>
      <c r="CC60" s="607">
        <f t="shared" si="120"/>
        <v>0</v>
      </c>
      <c r="CD60" s="607">
        <f t="shared" si="121"/>
        <v>0</v>
      </c>
      <c r="CE60" s="607">
        <f t="shared" si="122"/>
        <v>0</v>
      </c>
      <c r="CF60" s="607">
        <f t="shared" si="123"/>
        <v>0</v>
      </c>
      <c r="CG60" s="607">
        <f t="shared" si="124"/>
        <v>0</v>
      </c>
      <c r="CH60" s="607">
        <f t="shared" si="125"/>
        <v>2095327.6</v>
      </c>
      <c r="CI60" s="609"/>
      <c r="CK60" s="610" t="str">
        <f t="shared" si="79"/>
        <v/>
      </c>
      <c r="CL60" s="611" t="str">
        <f>IF(CK60="","",COUNTIFS($CK$16:CK60,"Yes")+MAX(State!AD:AD))</f>
        <v/>
      </c>
      <c r="CM60" s="612" t="b">
        <f>IF(C60="", "", AND(INDEX('Summary Dynamic'!$D$8:$D$10, MATCH(H60, 'Summary Dynamic'!$C$8:$C$10, 0))="Include", INDEX('Summary Dynamic'!$D$12:$D$14, MATCH(I60, 'Summary Dynamic'!$C$12:$C$14, 0))="Include", INDEX('Summary Dynamic'!$D$16:$D$17, MATCH(J60, 'Summary Dynamic'!$C$16:$C$17, 0))="Include", INDEX('Summary Dynamic'!$D$19:$D$20, MATCH(K60, 'Summary Dynamic'!$C$19:$C$20, 0))="Include", INDEX('Summary Dynamic'!$D$25:$D$26, MATCH(L60, 'Summary Dynamic'!$C$25:$C$26, 0))="Include",'Summary Dynamic'!$D$23="Include"))</f>
        <v>1</v>
      </c>
      <c r="CN60" s="613">
        <f>IFERROR(IF(CM60=TRUE, COUNTIFS($CM$16:CM60, TRUE), ""), "")</f>
        <v>45</v>
      </c>
      <c r="CP60" s="614" t="str">
        <f t="shared" si="126"/>
        <v>Non-Rural Private</v>
      </c>
      <c r="CY60" s="615"/>
      <c r="CZ60" s="616"/>
    </row>
    <row r="61" spans="2:104" x14ac:dyDescent="0.25">
      <c r="B61" s="617">
        <f t="shared" si="67"/>
        <v>46</v>
      </c>
      <c r="C61" s="593" t="s">
        <v>613</v>
      </c>
      <c r="D61" s="594" t="s">
        <v>613</v>
      </c>
      <c r="E61" s="594" t="s">
        <v>614</v>
      </c>
      <c r="F61" s="407" t="s">
        <v>615</v>
      </c>
      <c r="G61" s="408" t="s">
        <v>616</v>
      </c>
      <c r="H61" s="408" t="s">
        <v>22</v>
      </c>
      <c r="I61" s="408" t="s">
        <v>28</v>
      </c>
      <c r="J61" s="408" t="s">
        <v>31</v>
      </c>
      <c r="K61" s="408" t="s">
        <v>35</v>
      </c>
      <c r="L61" s="408" t="s">
        <v>35</v>
      </c>
      <c r="M61" s="408" t="s">
        <v>35</v>
      </c>
      <c r="N61" s="595" t="str">
        <f t="shared" si="84"/>
        <v>Yes</v>
      </c>
      <c r="O61" s="596">
        <v>316</v>
      </c>
      <c r="P61" s="596">
        <v>940</v>
      </c>
      <c r="Q61" s="597">
        <v>2.6633815596415145E-2</v>
      </c>
      <c r="R61" s="596">
        <f t="shared" si="68"/>
        <v>25.035786660630237</v>
      </c>
      <c r="S61" s="596">
        <f t="shared" si="69"/>
        <v>341.03578666063027</v>
      </c>
      <c r="T61" s="596">
        <f t="shared" si="85"/>
        <v>460.84165851450967</v>
      </c>
      <c r="U61" s="598">
        <f t="shared" si="70"/>
        <v>1.0781497436205008E-4</v>
      </c>
      <c r="V61" s="599">
        <f t="shared" si="80"/>
        <v>0</v>
      </c>
      <c r="W61" s="600">
        <v>1665322.076253555</v>
      </c>
      <c r="X61" s="600">
        <v>0</v>
      </c>
      <c r="Y61" s="600">
        <v>515483.17436891882</v>
      </c>
      <c r="Z61" s="600">
        <f t="shared" si="71"/>
        <v>0</v>
      </c>
      <c r="AA61" s="600">
        <f t="shared" si="72"/>
        <v>1665322.076253555</v>
      </c>
      <c r="AB61" s="601">
        <f t="shared" si="86"/>
        <v>0</v>
      </c>
      <c r="AC61" s="599">
        <v>55528.485005502313</v>
      </c>
      <c r="AD61" s="599">
        <f>MAX(IF(M61="Yes",'Assumption Inputs'!$C$40,'Assumption Inputs'!$C$41),AC61)</f>
        <v>6000000</v>
      </c>
      <c r="AE61" s="599">
        <f t="shared" si="81"/>
        <v>1080294.4308656813</v>
      </c>
      <c r="AF61" s="599">
        <f t="shared" si="87"/>
        <v>585027.64538787375</v>
      </c>
      <c r="AG61" s="599">
        <f t="shared" si="82"/>
        <v>0</v>
      </c>
      <c r="AH61" s="599">
        <f t="shared" si="83"/>
        <v>1665322.076253555</v>
      </c>
      <c r="AI61" s="599">
        <v>4394033.773527774</v>
      </c>
      <c r="AJ61" s="599">
        <v>4394033.773527775</v>
      </c>
      <c r="AK61" s="602">
        <f t="shared" si="74"/>
        <v>1.0000000000000002</v>
      </c>
      <c r="AL61" s="603">
        <f t="shared" si="25"/>
        <v>0</v>
      </c>
      <c r="AM61" s="600">
        <f t="shared" si="75"/>
        <v>1080294.4308656813</v>
      </c>
      <c r="AN61" s="600">
        <f t="shared" si="88"/>
        <v>1080294.4308656813</v>
      </c>
      <c r="AO61" s="600">
        <f t="shared" si="27"/>
        <v>0</v>
      </c>
      <c r="AP61" s="600">
        <f t="shared" si="28"/>
        <v>585027.64538787375</v>
      </c>
      <c r="AQ61" s="600">
        <f t="shared" si="76"/>
        <v>0</v>
      </c>
      <c r="AR61" s="600">
        <f t="shared" si="77"/>
        <v>1080294.4308656813</v>
      </c>
      <c r="AS61" s="604">
        <f t="shared" si="89"/>
        <v>585027.64538787375</v>
      </c>
      <c r="AT61" s="605">
        <f t="shared" si="90"/>
        <v>0</v>
      </c>
      <c r="AU61" s="600">
        <f t="shared" si="91"/>
        <v>1665322.076253555</v>
      </c>
      <c r="AV61" s="600">
        <f t="shared" si="92"/>
        <v>1665322.076253555</v>
      </c>
      <c r="AW61" s="600">
        <f t="shared" si="93"/>
        <v>0</v>
      </c>
      <c r="AX61" s="600">
        <f t="shared" si="94"/>
        <v>0</v>
      </c>
      <c r="AY61" s="600">
        <f t="shared" si="95"/>
        <v>0</v>
      </c>
      <c r="AZ61" s="600">
        <f t="shared" si="96"/>
        <v>1665322.076253555</v>
      </c>
      <c r="BA61" s="600">
        <f t="shared" si="97"/>
        <v>0</v>
      </c>
      <c r="BB61" s="600">
        <f t="shared" si="98"/>
        <v>0</v>
      </c>
      <c r="BC61" s="600">
        <f t="shared" si="99"/>
        <v>0</v>
      </c>
      <c r="BD61" s="600">
        <f t="shared" si="100"/>
        <v>585027.64538787375</v>
      </c>
      <c r="BE61" s="600">
        <f t="shared" si="101"/>
        <v>0</v>
      </c>
      <c r="BF61" s="600">
        <f t="shared" si="102"/>
        <v>1080294.4308656813</v>
      </c>
      <c r="BG61" s="600">
        <v>0</v>
      </c>
      <c r="BH61" s="600">
        <v>0</v>
      </c>
      <c r="BI61" s="600">
        <f t="shared" si="103"/>
        <v>0</v>
      </c>
      <c r="BJ61" s="600">
        <f t="shared" si="104"/>
        <v>1665322.08</v>
      </c>
      <c r="BK61" s="600">
        <f t="shared" si="105"/>
        <v>585027.64670399996</v>
      </c>
      <c r="BL61" s="600">
        <v>1665322.08</v>
      </c>
      <c r="BM61" s="600">
        <f t="shared" si="106"/>
        <v>0</v>
      </c>
      <c r="BN61" s="600">
        <f t="shared" si="107"/>
        <v>0</v>
      </c>
      <c r="BO61" s="600">
        <f t="shared" si="108"/>
        <v>585027.65</v>
      </c>
      <c r="BP61" s="600">
        <f t="shared" si="109"/>
        <v>585027.64670399996</v>
      </c>
      <c r="BQ61" s="600">
        <f t="shared" si="110"/>
        <v>0</v>
      </c>
      <c r="BR61" s="600">
        <f t="shared" si="111"/>
        <v>585027.65</v>
      </c>
      <c r="BT61" s="606">
        <f t="shared" si="112"/>
        <v>1.3789961948023417</v>
      </c>
      <c r="BU61" s="607">
        <f t="shared" si="113"/>
        <v>0</v>
      </c>
      <c r="BV61" s="606">
        <f t="shared" si="114"/>
        <v>1</v>
      </c>
      <c r="BW61" s="607">
        <f t="shared" si="115"/>
        <v>0</v>
      </c>
      <c r="BX61" s="607">
        <f t="shared" si="116"/>
        <v>0</v>
      </c>
      <c r="BY61" s="607">
        <f t="shared" si="117"/>
        <v>0</v>
      </c>
      <c r="BZ61" s="607">
        <f t="shared" si="118"/>
        <v>0</v>
      </c>
      <c r="CA61" s="607">
        <f t="shared" si="119"/>
        <v>0</v>
      </c>
      <c r="CB61" s="607">
        <f t="shared" si="78"/>
        <v>0</v>
      </c>
      <c r="CC61" s="607">
        <f t="shared" si="120"/>
        <v>0</v>
      </c>
      <c r="CD61" s="607">
        <f t="shared" si="121"/>
        <v>0</v>
      </c>
      <c r="CE61" s="607">
        <f t="shared" si="122"/>
        <v>0</v>
      </c>
      <c r="CF61" s="607">
        <f t="shared" si="123"/>
        <v>0</v>
      </c>
      <c r="CG61" s="607">
        <f t="shared" si="124"/>
        <v>0</v>
      </c>
      <c r="CH61" s="607">
        <f t="shared" si="125"/>
        <v>1665322.08</v>
      </c>
      <c r="CI61" s="609"/>
      <c r="CK61" s="610" t="str">
        <f t="shared" si="79"/>
        <v/>
      </c>
      <c r="CL61" s="611" t="str">
        <f>IF(CK61="","",COUNTIFS($CK$16:CK61,"Yes")+MAX(State!AD:AD))</f>
        <v/>
      </c>
      <c r="CM61" s="612" t="b">
        <f>IF(C61="", "", AND(INDEX('Summary Dynamic'!$D$8:$D$10, MATCH(H61, 'Summary Dynamic'!$C$8:$C$10, 0))="Include", INDEX('Summary Dynamic'!$D$12:$D$14, MATCH(I61, 'Summary Dynamic'!$C$12:$C$14, 0))="Include", INDEX('Summary Dynamic'!$D$16:$D$17, MATCH(J61, 'Summary Dynamic'!$C$16:$C$17, 0))="Include", INDEX('Summary Dynamic'!$D$19:$D$20, MATCH(K61, 'Summary Dynamic'!$C$19:$C$20, 0))="Include", INDEX('Summary Dynamic'!$D$25:$D$26, MATCH(L61, 'Summary Dynamic'!$C$25:$C$26, 0))="Include",'Summary Dynamic'!$D$23="Include"))</f>
        <v>1</v>
      </c>
      <c r="CN61" s="613">
        <f>IFERROR(IF(CM61=TRUE, COUNTIFS($CM$16:CM61, TRUE), ""), "")</f>
        <v>46</v>
      </c>
      <c r="CP61" s="614" t="str">
        <f t="shared" si="126"/>
        <v>Rural Public</v>
      </c>
      <c r="CY61" s="615"/>
      <c r="CZ61" s="616"/>
    </row>
    <row r="62" spans="2:104" x14ac:dyDescent="0.25">
      <c r="B62" s="617">
        <f t="shared" si="67"/>
        <v>47</v>
      </c>
      <c r="C62" s="593" t="s">
        <v>617</v>
      </c>
      <c r="D62" s="594" t="s">
        <v>617</v>
      </c>
      <c r="E62" s="594" t="s">
        <v>618</v>
      </c>
      <c r="F62" s="407" t="s">
        <v>619</v>
      </c>
      <c r="G62" s="408" t="s">
        <v>620</v>
      </c>
      <c r="H62" s="408" t="s">
        <v>22</v>
      </c>
      <c r="I62" s="408" t="s">
        <v>28</v>
      </c>
      <c r="J62" s="408" t="s">
        <v>31</v>
      </c>
      <c r="K62" s="408" t="s">
        <v>35</v>
      </c>
      <c r="L62" s="408" t="s">
        <v>35</v>
      </c>
      <c r="M62" s="408" t="s">
        <v>35</v>
      </c>
      <c r="N62" s="595" t="str">
        <f t="shared" si="84"/>
        <v>Yes</v>
      </c>
      <c r="O62" s="596">
        <v>1564</v>
      </c>
      <c r="P62" s="596">
        <v>9681</v>
      </c>
      <c r="Q62" s="597">
        <v>0.26855961649603699</v>
      </c>
      <c r="R62" s="596">
        <f t="shared" si="68"/>
        <v>2599.9256472981342</v>
      </c>
      <c r="S62" s="596">
        <f t="shared" si="69"/>
        <v>4163.9256472981342</v>
      </c>
      <c r="T62" s="596">
        <f t="shared" si="85"/>
        <v>5626.7127271939689</v>
      </c>
      <c r="U62" s="598">
        <f t="shared" si="70"/>
        <v>1.31638248673202E-3</v>
      </c>
      <c r="V62" s="599">
        <f t="shared" si="80"/>
        <v>0</v>
      </c>
      <c r="W62" s="600">
        <v>5140453.708390397</v>
      </c>
      <c r="X62" s="600">
        <v>0</v>
      </c>
      <c r="Y62" s="600">
        <v>6883798.8984968718</v>
      </c>
      <c r="Z62" s="600">
        <f t="shared" si="71"/>
        <v>0</v>
      </c>
      <c r="AA62" s="600">
        <f t="shared" si="72"/>
        <v>5140453.708390397</v>
      </c>
      <c r="AB62" s="601">
        <f t="shared" si="86"/>
        <v>0</v>
      </c>
      <c r="AC62" s="599">
        <v>416436.61268524773</v>
      </c>
      <c r="AD62" s="599">
        <f>MAX(IF(M62="Yes",'Assumption Inputs'!$C$40,'Assumption Inputs'!$C$41),AC62)</f>
        <v>6000000</v>
      </c>
      <c r="AE62" s="599">
        <f t="shared" si="81"/>
        <v>3334612.3206328508</v>
      </c>
      <c r="AF62" s="599">
        <f t="shared" si="87"/>
        <v>1805841.3877575463</v>
      </c>
      <c r="AG62" s="599">
        <f t="shared" si="82"/>
        <v>0</v>
      </c>
      <c r="AH62" s="599">
        <f t="shared" si="83"/>
        <v>5140453.708390397</v>
      </c>
      <c r="AI62" s="599">
        <v>12875874.000157554</v>
      </c>
      <c r="AJ62" s="599">
        <v>12875874.000157554</v>
      </c>
      <c r="AK62" s="602">
        <f t="shared" si="74"/>
        <v>1</v>
      </c>
      <c r="AL62" s="603">
        <f t="shared" si="25"/>
        <v>0</v>
      </c>
      <c r="AM62" s="600">
        <f t="shared" si="75"/>
        <v>3334612.3206328508</v>
      </c>
      <c r="AN62" s="600">
        <f t="shared" si="88"/>
        <v>3334612.3206328508</v>
      </c>
      <c r="AO62" s="600">
        <f t="shared" si="27"/>
        <v>0</v>
      </c>
      <c r="AP62" s="600">
        <f t="shared" si="28"/>
        <v>1805841.3877575463</v>
      </c>
      <c r="AQ62" s="600">
        <f t="shared" si="76"/>
        <v>0</v>
      </c>
      <c r="AR62" s="600">
        <f t="shared" si="77"/>
        <v>3334612.3206328508</v>
      </c>
      <c r="AS62" s="604">
        <f t="shared" si="89"/>
        <v>1805841.3877575463</v>
      </c>
      <c r="AT62" s="605">
        <f t="shared" si="90"/>
        <v>0</v>
      </c>
      <c r="AU62" s="600">
        <f t="shared" si="91"/>
        <v>5140453.708390397</v>
      </c>
      <c r="AV62" s="600">
        <f t="shared" si="92"/>
        <v>5140453.708390397</v>
      </c>
      <c r="AW62" s="600">
        <f t="shared" si="93"/>
        <v>0</v>
      </c>
      <c r="AX62" s="600">
        <f t="shared" si="94"/>
        <v>0</v>
      </c>
      <c r="AY62" s="600">
        <f t="shared" si="95"/>
        <v>0</v>
      </c>
      <c r="AZ62" s="600">
        <f t="shared" si="96"/>
        <v>5140453.708390397</v>
      </c>
      <c r="BA62" s="600">
        <f t="shared" si="97"/>
        <v>0</v>
      </c>
      <c r="BB62" s="600">
        <f t="shared" si="98"/>
        <v>0</v>
      </c>
      <c r="BC62" s="600">
        <f t="shared" si="99"/>
        <v>0</v>
      </c>
      <c r="BD62" s="600">
        <f t="shared" si="100"/>
        <v>1805841.3877575463</v>
      </c>
      <c r="BE62" s="600">
        <f t="shared" si="101"/>
        <v>0</v>
      </c>
      <c r="BF62" s="600">
        <f t="shared" si="102"/>
        <v>3334612.3206328508</v>
      </c>
      <c r="BG62" s="600">
        <v>0</v>
      </c>
      <c r="BH62" s="600">
        <v>0</v>
      </c>
      <c r="BI62" s="600">
        <f t="shared" si="103"/>
        <v>0</v>
      </c>
      <c r="BJ62" s="600">
        <f t="shared" si="104"/>
        <v>5140453.71</v>
      </c>
      <c r="BK62" s="600">
        <f t="shared" si="105"/>
        <v>1805841.3883229997</v>
      </c>
      <c r="BL62" s="600">
        <v>5140453.71</v>
      </c>
      <c r="BM62" s="600">
        <f t="shared" si="106"/>
        <v>0</v>
      </c>
      <c r="BN62" s="600">
        <f t="shared" si="107"/>
        <v>0</v>
      </c>
      <c r="BO62" s="600">
        <f t="shared" si="108"/>
        <v>1805841.39</v>
      </c>
      <c r="BP62" s="600">
        <f t="shared" si="109"/>
        <v>1805841.3883229997</v>
      </c>
      <c r="BQ62" s="600">
        <f t="shared" si="110"/>
        <v>0</v>
      </c>
      <c r="BR62" s="600">
        <f t="shared" si="111"/>
        <v>1805841.39</v>
      </c>
      <c r="BT62" s="606">
        <f t="shared" si="112"/>
        <v>1.3992314393521637</v>
      </c>
      <c r="BU62" s="607">
        <f t="shared" si="113"/>
        <v>0</v>
      </c>
      <c r="BV62" s="606">
        <f t="shared" si="114"/>
        <v>1</v>
      </c>
      <c r="BW62" s="607">
        <f t="shared" si="115"/>
        <v>0</v>
      </c>
      <c r="BX62" s="607">
        <f t="shared" si="116"/>
        <v>0</v>
      </c>
      <c r="BY62" s="607">
        <f t="shared" si="117"/>
        <v>0</v>
      </c>
      <c r="BZ62" s="607">
        <f t="shared" si="118"/>
        <v>0</v>
      </c>
      <c r="CA62" s="607">
        <f t="shared" si="119"/>
        <v>0</v>
      </c>
      <c r="CB62" s="607">
        <f t="shared" si="78"/>
        <v>0</v>
      </c>
      <c r="CC62" s="607">
        <f t="shared" si="120"/>
        <v>0</v>
      </c>
      <c r="CD62" s="607">
        <f t="shared" si="121"/>
        <v>0</v>
      </c>
      <c r="CE62" s="607">
        <f t="shared" si="122"/>
        <v>0</v>
      </c>
      <c r="CF62" s="607">
        <f t="shared" si="123"/>
        <v>0</v>
      </c>
      <c r="CG62" s="607">
        <f t="shared" si="124"/>
        <v>0</v>
      </c>
      <c r="CH62" s="607">
        <f t="shared" si="125"/>
        <v>5140453.71</v>
      </c>
      <c r="CI62" s="609"/>
      <c r="CK62" s="610" t="str">
        <f t="shared" si="79"/>
        <v/>
      </c>
      <c r="CL62" s="611" t="str">
        <f>IF(CK62="","",COUNTIFS($CK$16:CK62,"Yes")+MAX(State!AD:AD))</f>
        <v/>
      </c>
      <c r="CM62" s="612" t="b">
        <f>IF(C62="", "", AND(INDEX('Summary Dynamic'!$D$8:$D$10, MATCH(H62, 'Summary Dynamic'!$C$8:$C$10, 0))="Include", INDEX('Summary Dynamic'!$D$12:$D$14, MATCH(I62, 'Summary Dynamic'!$C$12:$C$14, 0))="Include", INDEX('Summary Dynamic'!$D$16:$D$17, MATCH(J62, 'Summary Dynamic'!$C$16:$C$17, 0))="Include", INDEX('Summary Dynamic'!$D$19:$D$20, MATCH(K62, 'Summary Dynamic'!$C$19:$C$20, 0))="Include", INDEX('Summary Dynamic'!$D$25:$D$26, MATCH(L62, 'Summary Dynamic'!$C$25:$C$26, 0))="Include",'Summary Dynamic'!$D$23="Include"))</f>
        <v>1</v>
      </c>
      <c r="CN62" s="613">
        <f>IFERROR(IF(CM62=TRUE, COUNTIFS($CM$16:CM62, TRUE), ""), "")</f>
        <v>47</v>
      </c>
      <c r="CP62" s="614" t="str">
        <f t="shared" si="126"/>
        <v>Rural Public</v>
      </c>
      <c r="CY62" s="615"/>
      <c r="CZ62" s="616"/>
    </row>
    <row r="63" spans="2:104" x14ac:dyDescent="0.25">
      <c r="B63" s="617">
        <f t="shared" si="67"/>
        <v>48</v>
      </c>
      <c r="C63" s="593" t="s">
        <v>65</v>
      </c>
      <c r="D63" s="594" t="s">
        <v>65</v>
      </c>
      <c r="E63" s="594" t="s">
        <v>621</v>
      </c>
      <c r="F63" s="407" t="s">
        <v>66</v>
      </c>
      <c r="G63" s="408" t="s">
        <v>491</v>
      </c>
      <c r="H63" s="408" t="s">
        <v>22</v>
      </c>
      <c r="I63" s="408" t="s">
        <v>26</v>
      </c>
      <c r="J63" s="408" t="s">
        <v>35</v>
      </c>
      <c r="K63" s="408" t="s">
        <v>35</v>
      </c>
      <c r="L63" s="408" t="s">
        <v>35</v>
      </c>
      <c r="M63" s="408" t="s">
        <v>37</v>
      </c>
      <c r="N63" s="595" t="str">
        <f t="shared" si="84"/>
        <v>No</v>
      </c>
      <c r="O63" s="596">
        <v>26010</v>
      </c>
      <c r="P63" s="596">
        <v>181198</v>
      </c>
      <c r="Q63" s="597">
        <v>0.16626335044120516</v>
      </c>
      <c r="R63" s="596">
        <f t="shared" si="68"/>
        <v>30126.586573245491</v>
      </c>
      <c r="S63" s="596">
        <f t="shared" si="69"/>
        <v>56136.586573245491</v>
      </c>
      <c r="T63" s="596">
        <f t="shared" si="85"/>
        <v>56136.586573245491</v>
      </c>
      <c r="U63" s="598">
        <f t="shared" si="70"/>
        <v>1.3133284568232904E-2</v>
      </c>
      <c r="V63" s="599">
        <f t="shared" si="80"/>
        <v>0</v>
      </c>
      <c r="W63" s="600">
        <v>122391977.29626073</v>
      </c>
      <c r="X63" s="600">
        <v>0</v>
      </c>
      <c r="Y63" s="600">
        <v>63833072.571263574</v>
      </c>
      <c r="Z63" s="600">
        <f t="shared" si="71"/>
        <v>0</v>
      </c>
      <c r="AA63" s="600">
        <f t="shared" si="72"/>
        <v>122391977.29626073</v>
      </c>
      <c r="AB63" s="601">
        <f t="shared" si="86"/>
        <v>0</v>
      </c>
      <c r="AC63" s="599">
        <v>25352363.047573965</v>
      </c>
      <c r="AD63" s="599">
        <f>MAX(IF(M63="Yes",'Assumption Inputs'!$C$40,'Assumption Inputs'!$C$41),AC63)</f>
        <v>25352363.047573965</v>
      </c>
      <c r="AE63" s="599">
        <f t="shared" si="81"/>
        <v>25352363.047573965</v>
      </c>
      <c r="AF63" s="599">
        <f t="shared" si="87"/>
        <v>0</v>
      </c>
      <c r="AG63" s="599">
        <f t="shared" si="82"/>
        <v>0</v>
      </c>
      <c r="AH63" s="599">
        <f t="shared" si="83"/>
        <v>25352363.047573965</v>
      </c>
      <c r="AI63" s="599">
        <v>192947038.07411158</v>
      </c>
      <c r="AJ63" s="599">
        <v>95907423.825424805</v>
      </c>
      <c r="AK63" s="602">
        <f t="shared" si="74"/>
        <v>0.49706605907361195</v>
      </c>
      <c r="AL63" s="603">
        <f t="shared" si="25"/>
        <v>22555580.511314064</v>
      </c>
      <c r="AM63" s="600">
        <f t="shared" si="75"/>
        <v>47907943.558888033</v>
      </c>
      <c r="AN63" s="600">
        <f t="shared" si="88"/>
        <v>47907943.558888033</v>
      </c>
      <c r="AO63" s="600">
        <f t="shared" si="27"/>
        <v>0</v>
      </c>
      <c r="AP63" s="600">
        <f t="shared" si="28"/>
        <v>74484033.737372696</v>
      </c>
      <c r="AQ63" s="600">
        <f t="shared" si="76"/>
        <v>0</v>
      </c>
      <c r="AR63" s="600">
        <f t="shared" si="77"/>
        <v>47907943.558888033</v>
      </c>
      <c r="AS63" s="604">
        <f t="shared" si="89"/>
        <v>0</v>
      </c>
      <c r="AT63" s="605">
        <f t="shared" si="90"/>
        <v>0</v>
      </c>
      <c r="AU63" s="600">
        <f t="shared" si="91"/>
        <v>47907943.558888033</v>
      </c>
      <c r="AV63" s="600">
        <f t="shared" si="92"/>
        <v>47907943.558888033</v>
      </c>
      <c r="AW63" s="600">
        <f t="shared" si="93"/>
        <v>0</v>
      </c>
      <c r="AX63" s="600">
        <f t="shared" si="94"/>
        <v>74484033.737372696</v>
      </c>
      <c r="AY63" s="600">
        <f t="shared" si="95"/>
        <v>1.4655100045323385E-10</v>
      </c>
      <c r="AZ63" s="600">
        <f t="shared" si="96"/>
        <v>47907943.558888033</v>
      </c>
      <c r="BA63" s="600">
        <f t="shared" si="97"/>
        <v>0</v>
      </c>
      <c r="BB63" s="600">
        <f t="shared" si="98"/>
        <v>0</v>
      </c>
      <c r="BC63" s="600">
        <f t="shared" si="99"/>
        <v>0</v>
      </c>
      <c r="BD63" s="600">
        <f t="shared" si="100"/>
        <v>0</v>
      </c>
      <c r="BE63" s="600">
        <f t="shared" si="101"/>
        <v>74484033.737372696</v>
      </c>
      <c r="BF63" s="600">
        <f t="shared" si="102"/>
        <v>47907943.558888033</v>
      </c>
      <c r="BG63" s="600">
        <v>0</v>
      </c>
      <c r="BH63" s="600">
        <v>0</v>
      </c>
      <c r="BI63" s="600">
        <f t="shared" si="103"/>
        <v>0</v>
      </c>
      <c r="BJ63" s="600">
        <f t="shared" si="104"/>
        <v>47907943.560000002</v>
      </c>
      <c r="BK63" s="600">
        <f t="shared" si="105"/>
        <v>16830060.572627999</v>
      </c>
      <c r="BL63" s="600">
        <v>47907943.560000002</v>
      </c>
      <c r="BM63" s="600">
        <f t="shared" si="106"/>
        <v>0</v>
      </c>
      <c r="BN63" s="600">
        <f t="shared" si="107"/>
        <v>0</v>
      </c>
      <c r="BO63" s="600">
        <f t="shared" si="108"/>
        <v>0</v>
      </c>
      <c r="BP63" s="600">
        <f t="shared" si="109"/>
        <v>16830060.572627999</v>
      </c>
      <c r="BQ63" s="600">
        <f t="shared" si="110"/>
        <v>0</v>
      </c>
      <c r="BR63" s="600">
        <f t="shared" si="111"/>
        <v>0</v>
      </c>
      <c r="BT63" s="606">
        <f t="shared" si="112"/>
        <v>1</v>
      </c>
      <c r="BU63" s="607">
        <f t="shared" si="113"/>
        <v>0</v>
      </c>
      <c r="BV63" s="606">
        <f t="shared" si="114"/>
        <v>1</v>
      </c>
      <c r="BW63" s="607">
        <f t="shared" si="115"/>
        <v>0</v>
      </c>
      <c r="BX63" s="607">
        <f t="shared" si="116"/>
        <v>0</v>
      </c>
      <c r="BY63" s="607">
        <f t="shared" si="117"/>
        <v>0</v>
      </c>
      <c r="BZ63" s="607">
        <f t="shared" si="118"/>
        <v>0</v>
      </c>
      <c r="CA63" s="607">
        <f t="shared" si="119"/>
        <v>0</v>
      </c>
      <c r="CB63" s="607">
        <f t="shared" si="78"/>
        <v>0</v>
      </c>
      <c r="CC63" s="607">
        <f t="shared" si="120"/>
        <v>0</v>
      </c>
      <c r="CD63" s="607">
        <f t="shared" si="121"/>
        <v>0</v>
      </c>
      <c r="CE63" s="607">
        <f t="shared" si="122"/>
        <v>0</v>
      </c>
      <c r="CF63" s="607">
        <f t="shared" si="123"/>
        <v>0</v>
      </c>
      <c r="CG63" s="607">
        <f t="shared" si="124"/>
        <v>0</v>
      </c>
      <c r="CH63" s="607">
        <f t="shared" si="125"/>
        <v>47907943.560000002</v>
      </c>
      <c r="CI63" s="609"/>
      <c r="CK63" s="610" t="str">
        <f t="shared" si="79"/>
        <v/>
      </c>
      <c r="CL63" s="611" t="str">
        <f>IF(CK63="","",COUNTIFS($CK$16:CK63,"Yes")+MAX(State!AD:AD))</f>
        <v/>
      </c>
      <c r="CM63" s="612" t="b">
        <f>IF(C63="", "", AND(INDEX('Summary Dynamic'!$D$8:$D$10, MATCH(H63, 'Summary Dynamic'!$C$8:$C$10, 0))="Include", INDEX('Summary Dynamic'!$D$12:$D$14, MATCH(I63, 'Summary Dynamic'!$C$12:$C$14, 0))="Include", INDEX('Summary Dynamic'!$D$16:$D$17, MATCH(J63, 'Summary Dynamic'!$C$16:$C$17, 0))="Include", INDEX('Summary Dynamic'!$D$19:$D$20, MATCH(K63, 'Summary Dynamic'!$C$19:$C$20, 0))="Include", INDEX('Summary Dynamic'!$D$25:$D$26, MATCH(L63, 'Summary Dynamic'!$C$25:$C$26, 0))="Include",'Summary Dynamic'!$D$23="Include"))</f>
        <v>1</v>
      </c>
      <c r="CN63" s="613">
        <f>IFERROR(IF(CM63=TRUE, COUNTIFS($CM$16:CM63, TRUE), ""), "")</f>
        <v>48</v>
      </c>
      <c r="CP63" s="614" t="str">
        <f t="shared" si="126"/>
        <v>Non-Rural Private</v>
      </c>
      <c r="CY63" s="615"/>
      <c r="CZ63" s="616"/>
    </row>
    <row r="64" spans="2:104" x14ac:dyDescent="0.25">
      <c r="B64" s="617">
        <f t="shared" si="67"/>
        <v>49</v>
      </c>
      <c r="C64" s="593" t="s">
        <v>622</v>
      </c>
      <c r="D64" s="594" t="s">
        <v>622</v>
      </c>
      <c r="E64" s="594" t="s">
        <v>623</v>
      </c>
      <c r="F64" s="407" t="s">
        <v>624</v>
      </c>
      <c r="G64" s="408" t="s">
        <v>625</v>
      </c>
      <c r="H64" s="618" t="s">
        <v>22</v>
      </c>
      <c r="I64" s="619" t="s">
        <v>28</v>
      </c>
      <c r="J64" s="408" t="s">
        <v>31</v>
      </c>
      <c r="K64" s="408" t="s">
        <v>35</v>
      </c>
      <c r="L64" s="408" t="s">
        <v>35</v>
      </c>
      <c r="M64" s="408" t="s">
        <v>35</v>
      </c>
      <c r="N64" s="595" t="str">
        <f t="shared" si="84"/>
        <v>Yes</v>
      </c>
      <c r="O64" s="596">
        <v>1771</v>
      </c>
      <c r="P64" s="596">
        <v>8204</v>
      </c>
      <c r="Q64" s="597">
        <v>0.30868012694341007</v>
      </c>
      <c r="R64" s="596">
        <f t="shared" si="68"/>
        <v>2532.4117614437364</v>
      </c>
      <c r="S64" s="596">
        <f t="shared" si="69"/>
        <v>4303.4117614437364</v>
      </c>
      <c r="T64" s="596">
        <f t="shared" si="85"/>
        <v>5815.2003132389209</v>
      </c>
      <c r="U64" s="598">
        <f t="shared" si="70"/>
        <v>1.3604795944512028E-3</v>
      </c>
      <c r="V64" s="599">
        <f t="shared" si="80"/>
        <v>0</v>
      </c>
      <c r="W64" s="600">
        <v>5693558.3842210472</v>
      </c>
      <c r="X64" s="600">
        <v>0</v>
      </c>
      <c r="Y64" s="600">
        <v>4332846.7527898094</v>
      </c>
      <c r="Z64" s="600">
        <f t="shared" si="71"/>
        <v>0</v>
      </c>
      <c r="AA64" s="600">
        <f t="shared" si="72"/>
        <v>5693558.3842210472</v>
      </c>
      <c r="AB64" s="601">
        <f t="shared" si="86"/>
        <v>0</v>
      </c>
      <c r="AC64" s="599">
        <v>433352.16796164733</v>
      </c>
      <c r="AD64" s="599">
        <f>MAX(IF(M64="Yes",'Assumption Inputs'!$C$40,'Assumption Inputs'!$C$41),AC64)</f>
        <v>6000000</v>
      </c>
      <c r="AE64" s="599">
        <f t="shared" si="81"/>
        <v>3693411.3238441939</v>
      </c>
      <c r="AF64" s="599">
        <f t="shared" si="87"/>
        <v>2000147.0603768539</v>
      </c>
      <c r="AG64" s="599">
        <f t="shared" si="82"/>
        <v>0</v>
      </c>
      <c r="AH64" s="599">
        <f t="shared" si="83"/>
        <v>5693558.3842210481</v>
      </c>
      <c r="AI64" s="599">
        <v>20726378.58471192</v>
      </c>
      <c r="AJ64" s="599">
        <v>20726378.58471192</v>
      </c>
      <c r="AK64" s="602">
        <f t="shared" si="74"/>
        <v>1</v>
      </c>
      <c r="AL64" s="603">
        <f t="shared" si="25"/>
        <v>0</v>
      </c>
      <c r="AM64" s="600">
        <f t="shared" si="75"/>
        <v>3693411.3238441939</v>
      </c>
      <c r="AN64" s="600">
        <f t="shared" si="88"/>
        <v>3693411.3238441939</v>
      </c>
      <c r="AO64" s="600">
        <f t="shared" si="27"/>
        <v>0</v>
      </c>
      <c r="AP64" s="600">
        <f t="shared" si="28"/>
        <v>2000147.0603768532</v>
      </c>
      <c r="AQ64" s="600">
        <f t="shared" si="76"/>
        <v>0</v>
      </c>
      <c r="AR64" s="600">
        <f t="shared" si="77"/>
        <v>3693411.3238441939</v>
      </c>
      <c r="AS64" s="604">
        <f t="shared" si="89"/>
        <v>2000147.0603768539</v>
      </c>
      <c r="AT64" s="605">
        <f t="shared" si="90"/>
        <v>0</v>
      </c>
      <c r="AU64" s="600">
        <f t="shared" si="91"/>
        <v>5693558.3842210481</v>
      </c>
      <c r="AV64" s="600">
        <f t="shared" si="92"/>
        <v>5693558.3842210472</v>
      </c>
      <c r="AW64" s="600">
        <f t="shared" si="93"/>
        <v>9.3132257461547852E-10</v>
      </c>
      <c r="AX64" s="600">
        <f t="shared" si="94"/>
        <v>0</v>
      </c>
      <c r="AY64" s="600">
        <f t="shared" si="95"/>
        <v>0</v>
      </c>
      <c r="AZ64" s="600">
        <f t="shared" si="96"/>
        <v>5693558.3842210472</v>
      </c>
      <c r="BA64" s="600">
        <f t="shared" si="97"/>
        <v>-3.2717362046241755E-10</v>
      </c>
      <c r="BB64" s="600">
        <f t="shared" si="98"/>
        <v>0</v>
      </c>
      <c r="BC64" s="600">
        <f t="shared" si="99"/>
        <v>0</v>
      </c>
      <c r="BD64" s="600">
        <f t="shared" si="100"/>
        <v>2000147.0603768537</v>
      </c>
      <c r="BE64" s="600">
        <f t="shared" si="101"/>
        <v>0</v>
      </c>
      <c r="BF64" s="600">
        <f t="shared" si="102"/>
        <v>3693411.3238441935</v>
      </c>
      <c r="BG64" s="600">
        <v>0</v>
      </c>
      <c r="BH64" s="600">
        <v>0</v>
      </c>
      <c r="BI64" s="600">
        <f t="shared" si="103"/>
        <v>0</v>
      </c>
      <c r="BJ64" s="600">
        <f t="shared" si="104"/>
        <v>5693558.3799999999</v>
      </c>
      <c r="BK64" s="600">
        <f t="shared" si="105"/>
        <v>2000147.0588939996</v>
      </c>
      <c r="BL64" s="600">
        <v>5693558.3799999999</v>
      </c>
      <c r="BM64" s="600">
        <f t="shared" si="106"/>
        <v>0</v>
      </c>
      <c r="BN64" s="600">
        <f t="shared" si="107"/>
        <v>0</v>
      </c>
      <c r="BO64" s="600">
        <f t="shared" si="108"/>
        <v>2000147.06</v>
      </c>
      <c r="BP64" s="600">
        <f t="shared" si="109"/>
        <v>2000147.0588939996</v>
      </c>
      <c r="BQ64" s="600">
        <f t="shared" si="110"/>
        <v>0</v>
      </c>
      <c r="BR64" s="600">
        <f t="shared" si="111"/>
        <v>2000147.06</v>
      </c>
      <c r="BT64" s="606">
        <f t="shared" si="112"/>
        <v>1.2747010702679942</v>
      </c>
      <c r="BU64" s="607">
        <f t="shared" si="113"/>
        <v>0</v>
      </c>
      <c r="BV64" s="606">
        <f t="shared" si="114"/>
        <v>1</v>
      </c>
      <c r="BW64" s="607">
        <f t="shared" si="115"/>
        <v>0</v>
      </c>
      <c r="BX64" s="607">
        <f t="shared" si="116"/>
        <v>0</v>
      </c>
      <c r="BY64" s="607">
        <f t="shared" si="117"/>
        <v>0</v>
      </c>
      <c r="BZ64" s="607">
        <f t="shared" si="118"/>
        <v>0</v>
      </c>
      <c r="CA64" s="607">
        <f t="shared" si="119"/>
        <v>0</v>
      </c>
      <c r="CB64" s="607">
        <f t="shared" si="78"/>
        <v>0</v>
      </c>
      <c r="CC64" s="607">
        <f t="shared" si="120"/>
        <v>0</v>
      </c>
      <c r="CD64" s="607">
        <f t="shared" si="121"/>
        <v>0</v>
      </c>
      <c r="CE64" s="607">
        <f t="shared" si="122"/>
        <v>0</v>
      </c>
      <c r="CF64" s="607">
        <f t="shared" si="123"/>
        <v>0</v>
      </c>
      <c r="CG64" s="607">
        <f t="shared" si="124"/>
        <v>0</v>
      </c>
      <c r="CH64" s="607">
        <f t="shared" si="125"/>
        <v>5693558.3799999999</v>
      </c>
      <c r="CI64" s="609"/>
      <c r="CK64" s="610" t="str">
        <f t="shared" si="79"/>
        <v/>
      </c>
      <c r="CL64" s="611" t="str">
        <f>IF(CK64="","",COUNTIFS($CK$16:CK64,"Yes")+MAX(State!AD:AD))</f>
        <v/>
      </c>
      <c r="CM64" s="612" t="b">
        <f>IF(C64="", "", AND(INDEX('Summary Dynamic'!$D$8:$D$10, MATCH(H64, 'Summary Dynamic'!$C$8:$C$10, 0))="Include", INDEX('Summary Dynamic'!$D$12:$D$14, MATCH(I64, 'Summary Dynamic'!$C$12:$C$14, 0))="Include", INDEX('Summary Dynamic'!$D$16:$D$17, MATCH(J64, 'Summary Dynamic'!$C$16:$C$17, 0))="Include", INDEX('Summary Dynamic'!$D$19:$D$20, MATCH(K64, 'Summary Dynamic'!$C$19:$C$20, 0))="Include", INDEX('Summary Dynamic'!$D$25:$D$26, MATCH(L64, 'Summary Dynamic'!$C$25:$C$26, 0))="Include",'Summary Dynamic'!$D$23="Include"))</f>
        <v>1</v>
      </c>
      <c r="CN64" s="613">
        <f>IFERROR(IF(CM64=TRUE, COUNTIFS($CM$16:CM64, TRUE), ""), "")</f>
        <v>49</v>
      </c>
      <c r="CP64" s="614" t="str">
        <f t="shared" si="126"/>
        <v>Rural Public</v>
      </c>
      <c r="CY64" s="615"/>
      <c r="CZ64" s="616"/>
    </row>
    <row r="65" spans="2:104" x14ac:dyDescent="0.25">
      <c r="B65" s="617">
        <f t="shared" si="67"/>
        <v>50</v>
      </c>
      <c r="C65" s="593" t="s">
        <v>626</v>
      </c>
      <c r="D65" s="594" t="s">
        <v>626</v>
      </c>
      <c r="E65" s="594" t="s">
        <v>627</v>
      </c>
      <c r="F65" s="407" t="s">
        <v>628</v>
      </c>
      <c r="G65" s="408" t="s">
        <v>629</v>
      </c>
      <c r="H65" s="408" t="s">
        <v>22</v>
      </c>
      <c r="I65" s="408" t="s">
        <v>28</v>
      </c>
      <c r="J65" s="408" t="s">
        <v>31</v>
      </c>
      <c r="K65" s="408" t="s">
        <v>35</v>
      </c>
      <c r="L65" s="408" t="s">
        <v>35</v>
      </c>
      <c r="M65" s="408" t="s">
        <v>35</v>
      </c>
      <c r="N65" s="595" t="str">
        <f t="shared" si="84"/>
        <v>Yes</v>
      </c>
      <c r="O65" s="596">
        <v>436</v>
      </c>
      <c r="P65" s="596">
        <v>2217</v>
      </c>
      <c r="Q65" s="597">
        <v>0</v>
      </c>
      <c r="R65" s="596">
        <f t="shared" si="68"/>
        <v>0</v>
      </c>
      <c r="S65" s="596">
        <f t="shared" si="69"/>
        <v>436</v>
      </c>
      <c r="T65" s="596">
        <f t="shared" si="85"/>
        <v>589.16679999999997</v>
      </c>
      <c r="U65" s="598">
        <f t="shared" si="70"/>
        <v>1.3783693870412351E-4</v>
      </c>
      <c r="V65" s="599">
        <f t="shared" si="80"/>
        <v>0</v>
      </c>
      <c r="W65" s="600">
        <v>3608802.225649395</v>
      </c>
      <c r="X65" s="600">
        <v>0</v>
      </c>
      <c r="Y65" s="600">
        <v>663290.92806886323</v>
      </c>
      <c r="Z65" s="600">
        <f t="shared" si="71"/>
        <v>0</v>
      </c>
      <c r="AA65" s="600">
        <f t="shared" si="72"/>
        <v>3608802.225649395</v>
      </c>
      <c r="AB65" s="601">
        <f t="shared" si="86"/>
        <v>0</v>
      </c>
      <c r="AC65" s="599">
        <v>1325662.2261668043</v>
      </c>
      <c r="AD65" s="599">
        <f>MAX(IF(M65="Yes",'Assumption Inputs'!$C$40,'Assumption Inputs'!$C$41),AC65)</f>
        <v>6000000</v>
      </c>
      <c r="AE65" s="599">
        <f t="shared" si="81"/>
        <v>2341030.0037787626</v>
      </c>
      <c r="AF65" s="599">
        <f t="shared" si="87"/>
        <v>1267772.2218706324</v>
      </c>
      <c r="AG65" s="599">
        <f t="shared" si="82"/>
        <v>0</v>
      </c>
      <c r="AH65" s="599">
        <f t="shared" si="83"/>
        <v>3608802.225649395</v>
      </c>
      <c r="AI65" s="599">
        <v>5414053.2953298353</v>
      </c>
      <c r="AJ65" s="599">
        <v>5414053.2953298362</v>
      </c>
      <c r="AK65" s="602">
        <f t="shared" si="74"/>
        <v>1.0000000000000002</v>
      </c>
      <c r="AL65" s="603">
        <f t="shared" si="25"/>
        <v>0</v>
      </c>
      <c r="AM65" s="600">
        <f t="shared" si="75"/>
        <v>2341030.0037787626</v>
      </c>
      <c r="AN65" s="600">
        <f t="shared" si="88"/>
        <v>2341030.0037787626</v>
      </c>
      <c r="AO65" s="600">
        <f t="shared" si="27"/>
        <v>0</v>
      </c>
      <c r="AP65" s="600">
        <f t="shared" si="28"/>
        <v>1267772.2218706324</v>
      </c>
      <c r="AQ65" s="600">
        <f t="shared" si="76"/>
        <v>0</v>
      </c>
      <c r="AR65" s="600">
        <f t="shared" si="77"/>
        <v>2341030.0037787626</v>
      </c>
      <c r="AS65" s="604">
        <f t="shared" si="89"/>
        <v>1267772.2218706324</v>
      </c>
      <c r="AT65" s="605">
        <f t="shared" si="90"/>
        <v>0</v>
      </c>
      <c r="AU65" s="600">
        <f t="shared" si="91"/>
        <v>3608802.225649395</v>
      </c>
      <c r="AV65" s="600">
        <f t="shared" si="92"/>
        <v>3608802.225649395</v>
      </c>
      <c r="AW65" s="600">
        <f t="shared" si="93"/>
        <v>0</v>
      </c>
      <c r="AX65" s="600">
        <f t="shared" si="94"/>
        <v>0</v>
      </c>
      <c r="AY65" s="600">
        <f t="shared" si="95"/>
        <v>0</v>
      </c>
      <c r="AZ65" s="600">
        <f t="shared" si="96"/>
        <v>3608802.225649395</v>
      </c>
      <c r="BA65" s="600">
        <f t="shared" si="97"/>
        <v>0</v>
      </c>
      <c r="BB65" s="600">
        <f t="shared" si="98"/>
        <v>0</v>
      </c>
      <c r="BC65" s="600">
        <f t="shared" si="99"/>
        <v>0</v>
      </c>
      <c r="BD65" s="600">
        <f t="shared" si="100"/>
        <v>1267772.2218706324</v>
      </c>
      <c r="BE65" s="600">
        <f t="shared" si="101"/>
        <v>0</v>
      </c>
      <c r="BF65" s="600">
        <f t="shared" si="102"/>
        <v>2341030.0037787626</v>
      </c>
      <c r="BG65" s="600">
        <v>0</v>
      </c>
      <c r="BH65" s="600">
        <v>0</v>
      </c>
      <c r="BI65" s="600">
        <f t="shared" si="103"/>
        <v>0</v>
      </c>
      <c r="BJ65" s="600">
        <f t="shared" si="104"/>
        <v>3608802.23</v>
      </c>
      <c r="BK65" s="600">
        <f t="shared" si="105"/>
        <v>1267772.2233989998</v>
      </c>
      <c r="BL65" s="600">
        <v>3608802.23</v>
      </c>
      <c r="BM65" s="600">
        <f t="shared" si="106"/>
        <v>0</v>
      </c>
      <c r="BN65" s="600">
        <f t="shared" si="107"/>
        <v>0</v>
      </c>
      <c r="BO65" s="600">
        <f t="shared" si="108"/>
        <v>1267772.22</v>
      </c>
      <c r="BP65" s="600">
        <f t="shared" si="109"/>
        <v>1267772.2233989998</v>
      </c>
      <c r="BQ65" s="600">
        <f t="shared" si="110"/>
        <v>0</v>
      </c>
      <c r="BR65" s="600">
        <f t="shared" si="111"/>
        <v>1267772.22</v>
      </c>
      <c r="BT65" s="606">
        <f t="shared" si="112"/>
        <v>1.6665620069002562</v>
      </c>
      <c r="BU65" s="607">
        <f t="shared" si="113"/>
        <v>0</v>
      </c>
      <c r="BV65" s="606">
        <f t="shared" si="114"/>
        <v>1</v>
      </c>
      <c r="BW65" s="607">
        <f t="shared" si="115"/>
        <v>0</v>
      </c>
      <c r="BX65" s="607">
        <f t="shared" si="116"/>
        <v>0</v>
      </c>
      <c r="BY65" s="607">
        <f t="shared" si="117"/>
        <v>0</v>
      </c>
      <c r="BZ65" s="607">
        <f t="shared" si="118"/>
        <v>0</v>
      </c>
      <c r="CA65" s="607">
        <f t="shared" si="119"/>
        <v>0</v>
      </c>
      <c r="CB65" s="607">
        <f t="shared" si="78"/>
        <v>0</v>
      </c>
      <c r="CC65" s="607">
        <f t="shared" si="120"/>
        <v>0</v>
      </c>
      <c r="CD65" s="607">
        <f t="shared" si="121"/>
        <v>0</v>
      </c>
      <c r="CE65" s="607">
        <f t="shared" si="122"/>
        <v>0</v>
      </c>
      <c r="CF65" s="607">
        <f t="shared" si="123"/>
        <v>0</v>
      </c>
      <c r="CG65" s="607">
        <f t="shared" si="124"/>
        <v>0</v>
      </c>
      <c r="CH65" s="607">
        <f t="shared" si="125"/>
        <v>3608802.23</v>
      </c>
      <c r="CI65" s="609"/>
      <c r="CK65" s="610" t="str">
        <f t="shared" si="79"/>
        <v/>
      </c>
      <c r="CL65" s="611" t="str">
        <f>IF(CK65="","",COUNTIFS($CK$16:CK65,"Yes")+MAX(State!AD:AD))</f>
        <v/>
      </c>
      <c r="CM65" s="612" t="b">
        <f>IF(C65="", "", AND(INDEX('Summary Dynamic'!$D$8:$D$10, MATCH(H65, 'Summary Dynamic'!$C$8:$C$10, 0))="Include", INDEX('Summary Dynamic'!$D$12:$D$14, MATCH(I65, 'Summary Dynamic'!$C$12:$C$14, 0))="Include", INDEX('Summary Dynamic'!$D$16:$D$17, MATCH(J65, 'Summary Dynamic'!$C$16:$C$17, 0))="Include", INDEX('Summary Dynamic'!$D$19:$D$20, MATCH(K65, 'Summary Dynamic'!$C$19:$C$20, 0))="Include", INDEX('Summary Dynamic'!$D$25:$D$26, MATCH(L65, 'Summary Dynamic'!$C$25:$C$26, 0))="Include",'Summary Dynamic'!$D$23="Include"))</f>
        <v>1</v>
      </c>
      <c r="CN65" s="613">
        <f>IFERROR(IF(CM65=TRUE, COUNTIFS($CM$16:CM65, TRUE), ""), "")</f>
        <v>50</v>
      </c>
      <c r="CP65" s="614" t="str">
        <f t="shared" si="126"/>
        <v>Rural Public</v>
      </c>
      <c r="CY65" s="615"/>
      <c r="CZ65" s="616"/>
    </row>
    <row r="66" spans="2:104" x14ac:dyDescent="0.25">
      <c r="B66" s="617">
        <f t="shared" si="67"/>
        <v>51</v>
      </c>
      <c r="C66" s="593" t="s">
        <v>630</v>
      </c>
      <c r="D66" s="594" t="s">
        <v>630</v>
      </c>
      <c r="E66" s="594" t="s">
        <v>631</v>
      </c>
      <c r="F66" s="407" t="s">
        <v>632</v>
      </c>
      <c r="G66" s="408" t="s">
        <v>282</v>
      </c>
      <c r="H66" s="408" t="s">
        <v>22</v>
      </c>
      <c r="I66" s="408" t="s">
        <v>26</v>
      </c>
      <c r="J66" s="408" t="s">
        <v>35</v>
      </c>
      <c r="K66" s="408" t="s">
        <v>35</v>
      </c>
      <c r="L66" s="408" t="s">
        <v>35</v>
      </c>
      <c r="M66" s="408" t="s">
        <v>37</v>
      </c>
      <c r="N66" s="595" t="str">
        <f t="shared" si="84"/>
        <v>No</v>
      </c>
      <c r="O66" s="596">
        <v>24153</v>
      </c>
      <c r="P66" s="596">
        <v>174287</v>
      </c>
      <c r="Q66" s="597">
        <v>0.25968063801343372</v>
      </c>
      <c r="R66" s="596">
        <f t="shared" si="68"/>
        <v>45258.959357447326</v>
      </c>
      <c r="S66" s="596">
        <f t="shared" si="69"/>
        <v>69411.959357447326</v>
      </c>
      <c r="T66" s="596">
        <f t="shared" si="85"/>
        <v>69411.959357447326</v>
      </c>
      <c r="U66" s="598">
        <f t="shared" si="70"/>
        <v>1.6239088806914409E-2</v>
      </c>
      <c r="V66" s="599">
        <f t="shared" si="80"/>
        <v>0</v>
      </c>
      <c r="W66" s="600">
        <v>14227935.213532718</v>
      </c>
      <c r="X66" s="600">
        <v>0</v>
      </c>
      <c r="Y66" s="600">
        <v>17144528.623254351</v>
      </c>
      <c r="Z66" s="600">
        <f t="shared" si="71"/>
        <v>0</v>
      </c>
      <c r="AA66" s="600">
        <f t="shared" si="72"/>
        <v>14227935.213532718</v>
      </c>
      <c r="AB66" s="601">
        <f t="shared" si="86"/>
        <v>0</v>
      </c>
      <c r="AC66" s="599">
        <v>0</v>
      </c>
      <c r="AD66" s="599">
        <f>MAX(IF(M66="Yes",'Assumption Inputs'!$C$40,'Assumption Inputs'!$C$41),AC66)</f>
        <v>8000000</v>
      </c>
      <c r="AE66" s="599">
        <f t="shared" si="81"/>
        <v>8000000</v>
      </c>
      <c r="AF66" s="599">
        <f t="shared" si="87"/>
        <v>0</v>
      </c>
      <c r="AG66" s="599">
        <f t="shared" si="82"/>
        <v>0</v>
      </c>
      <c r="AH66" s="599">
        <f t="shared" si="83"/>
        <v>8000000</v>
      </c>
      <c r="AI66" s="599">
        <v>131046019.24007729</v>
      </c>
      <c r="AJ66" s="599">
        <v>124818084.02654459</v>
      </c>
      <c r="AK66" s="602">
        <f t="shared" si="74"/>
        <v>0.95247520489635729</v>
      </c>
      <c r="AL66" s="603">
        <f t="shared" si="25"/>
        <v>0</v>
      </c>
      <c r="AM66" s="600">
        <f t="shared" si="75"/>
        <v>8000000</v>
      </c>
      <c r="AN66" s="600">
        <f t="shared" si="88"/>
        <v>8000000</v>
      </c>
      <c r="AO66" s="600">
        <f t="shared" si="27"/>
        <v>0</v>
      </c>
      <c r="AP66" s="600">
        <f t="shared" si="28"/>
        <v>6227935.2135327179</v>
      </c>
      <c r="AQ66" s="600">
        <f t="shared" si="76"/>
        <v>0</v>
      </c>
      <c r="AR66" s="600">
        <f t="shared" si="77"/>
        <v>8000000</v>
      </c>
      <c r="AS66" s="604">
        <f t="shared" si="89"/>
        <v>0</v>
      </c>
      <c r="AT66" s="605">
        <f t="shared" si="90"/>
        <v>0</v>
      </c>
      <c r="AU66" s="600">
        <f t="shared" si="91"/>
        <v>8000000</v>
      </c>
      <c r="AV66" s="600">
        <f t="shared" si="92"/>
        <v>8000000</v>
      </c>
      <c r="AW66" s="600">
        <f t="shared" si="93"/>
        <v>0</v>
      </c>
      <c r="AX66" s="600">
        <f t="shared" si="94"/>
        <v>6227935.2135327179</v>
      </c>
      <c r="AY66" s="600">
        <f t="shared" si="95"/>
        <v>1.2253768901927609E-11</v>
      </c>
      <c r="AZ66" s="600">
        <f t="shared" si="96"/>
        <v>8000000</v>
      </c>
      <c r="BA66" s="600">
        <f t="shared" si="97"/>
        <v>0</v>
      </c>
      <c r="BB66" s="600">
        <f t="shared" si="98"/>
        <v>0</v>
      </c>
      <c r="BC66" s="600">
        <f t="shared" si="99"/>
        <v>0</v>
      </c>
      <c r="BD66" s="600">
        <f t="shared" si="100"/>
        <v>0</v>
      </c>
      <c r="BE66" s="600">
        <f t="shared" si="101"/>
        <v>6227935.2135327179</v>
      </c>
      <c r="BF66" s="600">
        <f t="shared" si="102"/>
        <v>8000000</v>
      </c>
      <c r="BG66" s="600">
        <v>0</v>
      </c>
      <c r="BH66" s="600">
        <v>0</v>
      </c>
      <c r="BI66" s="600">
        <f t="shared" si="103"/>
        <v>0</v>
      </c>
      <c r="BJ66" s="600">
        <f t="shared" si="104"/>
        <v>8000000</v>
      </c>
      <c r="BK66" s="600">
        <f t="shared" si="105"/>
        <v>2810399.9999999995</v>
      </c>
      <c r="BL66" s="600">
        <v>8000000</v>
      </c>
      <c r="BM66" s="600">
        <f t="shared" si="106"/>
        <v>0</v>
      </c>
      <c r="BN66" s="600">
        <f t="shared" si="107"/>
        <v>0</v>
      </c>
      <c r="BO66" s="600">
        <f t="shared" si="108"/>
        <v>0</v>
      </c>
      <c r="BP66" s="600">
        <f t="shared" si="109"/>
        <v>2810399.9999999995</v>
      </c>
      <c r="BQ66" s="600">
        <f t="shared" si="110"/>
        <v>0</v>
      </c>
      <c r="BR66" s="600">
        <f t="shared" si="111"/>
        <v>0</v>
      </c>
      <c r="BT66" s="606">
        <f t="shared" si="112"/>
        <v>1</v>
      </c>
      <c r="BU66" s="607">
        <f t="shared" si="113"/>
        <v>0</v>
      </c>
      <c r="BV66" s="606">
        <f t="shared" si="114"/>
        <v>1</v>
      </c>
      <c r="BW66" s="607">
        <f t="shared" si="115"/>
        <v>0</v>
      </c>
      <c r="BX66" s="607">
        <f t="shared" si="116"/>
        <v>0</v>
      </c>
      <c r="BY66" s="607">
        <f t="shared" si="117"/>
        <v>0</v>
      </c>
      <c r="BZ66" s="607">
        <f t="shared" si="118"/>
        <v>0</v>
      </c>
      <c r="CA66" s="607">
        <f t="shared" si="119"/>
        <v>0</v>
      </c>
      <c r="CB66" s="607">
        <f t="shared" si="78"/>
        <v>0</v>
      </c>
      <c r="CC66" s="607">
        <f t="shared" si="120"/>
        <v>0</v>
      </c>
      <c r="CD66" s="607">
        <f t="shared" si="121"/>
        <v>0</v>
      </c>
      <c r="CE66" s="607">
        <f t="shared" si="122"/>
        <v>0</v>
      </c>
      <c r="CF66" s="607">
        <f t="shared" si="123"/>
        <v>0</v>
      </c>
      <c r="CG66" s="607">
        <f t="shared" si="124"/>
        <v>0</v>
      </c>
      <c r="CH66" s="607">
        <f t="shared" si="125"/>
        <v>8000000</v>
      </c>
      <c r="CI66" s="609"/>
      <c r="CK66" s="610" t="str">
        <f t="shared" si="79"/>
        <v/>
      </c>
      <c r="CL66" s="611" t="str">
        <f>IF(CK66="","",COUNTIFS($CK$16:CK66,"Yes")+MAX(State!AD:AD))</f>
        <v/>
      </c>
      <c r="CM66" s="612" t="b">
        <f>IF(C66="", "", AND(INDEX('Summary Dynamic'!$D$8:$D$10, MATCH(H66, 'Summary Dynamic'!$C$8:$C$10, 0))="Include", INDEX('Summary Dynamic'!$D$12:$D$14, MATCH(I66, 'Summary Dynamic'!$C$12:$C$14, 0))="Include", INDEX('Summary Dynamic'!$D$16:$D$17, MATCH(J66, 'Summary Dynamic'!$C$16:$C$17, 0))="Include", INDEX('Summary Dynamic'!$D$19:$D$20, MATCH(K66, 'Summary Dynamic'!$C$19:$C$20, 0))="Include", INDEX('Summary Dynamic'!$D$25:$D$26, MATCH(L66, 'Summary Dynamic'!$C$25:$C$26, 0))="Include",'Summary Dynamic'!$D$23="Include"))</f>
        <v>1</v>
      </c>
      <c r="CN66" s="613">
        <f>IFERROR(IF(CM66=TRUE, COUNTIFS($CM$16:CM66, TRUE), ""), "")</f>
        <v>51</v>
      </c>
      <c r="CP66" s="614" t="str">
        <f t="shared" si="126"/>
        <v>Non-Rural Private</v>
      </c>
      <c r="CY66" s="615"/>
      <c r="CZ66" s="616"/>
    </row>
    <row r="67" spans="2:104" x14ac:dyDescent="0.25">
      <c r="B67" s="617">
        <f t="shared" si="67"/>
        <v>52</v>
      </c>
      <c r="C67" s="593" t="s">
        <v>633</v>
      </c>
      <c r="D67" s="594" t="s">
        <v>633</v>
      </c>
      <c r="E67" s="594" t="s">
        <v>634</v>
      </c>
      <c r="F67" s="407" t="s">
        <v>635</v>
      </c>
      <c r="G67" s="408" t="s">
        <v>636</v>
      </c>
      <c r="H67" s="408" t="s">
        <v>22</v>
      </c>
      <c r="I67" s="408" t="s">
        <v>26</v>
      </c>
      <c r="J67" s="408" t="s">
        <v>31</v>
      </c>
      <c r="K67" s="408" t="s">
        <v>35</v>
      </c>
      <c r="L67" s="408" t="s">
        <v>35</v>
      </c>
      <c r="M67" s="408" t="s">
        <v>35</v>
      </c>
      <c r="N67" s="595" t="str">
        <f t="shared" si="84"/>
        <v>No</v>
      </c>
      <c r="O67" s="596">
        <v>2511</v>
      </c>
      <c r="P67" s="596">
        <v>26826</v>
      </c>
      <c r="Q67" s="597">
        <v>1</v>
      </c>
      <c r="R67" s="596">
        <f t="shared" si="68"/>
        <v>26826</v>
      </c>
      <c r="S67" s="596">
        <f t="shared" si="69"/>
        <v>29337</v>
      </c>
      <c r="T67" s="596">
        <f t="shared" si="85"/>
        <v>29337</v>
      </c>
      <c r="U67" s="598">
        <f t="shared" si="70"/>
        <v>6.863459160908034E-3</v>
      </c>
      <c r="V67" s="599">
        <f t="shared" si="80"/>
        <v>0</v>
      </c>
      <c r="W67" s="600">
        <v>9489024.9275386948</v>
      </c>
      <c r="X67" s="600">
        <v>0</v>
      </c>
      <c r="Y67" s="600">
        <v>2808987.8586962628</v>
      </c>
      <c r="Z67" s="600">
        <f t="shared" si="71"/>
        <v>0</v>
      </c>
      <c r="AA67" s="600">
        <f t="shared" si="72"/>
        <v>9489024.9275386948</v>
      </c>
      <c r="AB67" s="601">
        <f t="shared" si="86"/>
        <v>0</v>
      </c>
      <c r="AC67" s="599">
        <v>0</v>
      </c>
      <c r="AD67" s="599">
        <f>MAX(IF(M67="Yes",'Assumption Inputs'!$C$40,'Assumption Inputs'!$C$41),AC67)</f>
        <v>6000000</v>
      </c>
      <c r="AE67" s="599">
        <f t="shared" si="81"/>
        <v>6000000</v>
      </c>
      <c r="AF67" s="599">
        <f t="shared" si="87"/>
        <v>0</v>
      </c>
      <c r="AG67" s="599">
        <f t="shared" si="82"/>
        <v>0</v>
      </c>
      <c r="AH67" s="599">
        <f t="shared" si="83"/>
        <v>6000000</v>
      </c>
      <c r="AI67" s="599">
        <v>24722437.185462169</v>
      </c>
      <c r="AJ67" s="599">
        <v>21233412.257923476</v>
      </c>
      <c r="AK67" s="602">
        <f t="shared" si="74"/>
        <v>0.85887212893434361</v>
      </c>
      <c r="AL67" s="603">
        <f t="shared" si="25"/>
        <v>0</v>
      </c>
      <c r="AM67" s="600">
        <f t="shared" si="75"/>
        <v>6000000</v>
      </c>
      <c r="AN67" s="600">
        <f t="shared" si="88"/>
        <v>6000000</v>
      </c>
      <c r="AO67" s="600">
        <f t="shared" si="27"/>
        <v>0</v>
      </c>
      <c r="AP67" s="600">
        <f t="shared" si="28"/>
        <v>3489024.9275386948</v>
      </c>
      <c r="AQ67" s="600">
        <f t="shared" si="76"/>
        <v>0</v>
      </c>
      <c r="AR67" s="600">
        <f t="shared" si="77"/>
        <v>6000000</v>
      </c>
      <c r="AS67" s="604">
        <f t="shared" si="89"/>
        <v>0</v>
      </c>
      <c r="AT67" s="605">
        <f t="shared" si="90"/>
        <v>0</v>
      </c>
      <c r="AU67" s="600">
        <f t="shared" si="91"/>
        <v>6000000</v>
      </c>
      <c r="AV67" s="600">
        <f t="shared" si="92"/>
        <v>6000000</v>
      </c>
      <c r="AW67" s="600">
        <f t="shared" si="93"/>
        <v>0</v>
      </c>
      <c r="AX67" s="600">
        <f t="shared" si="94"/>
        <v>3489024.9275386948</v>
      </c>
      <c r="AY67" s="600">
        <f t="shared" si="95"/>
        <v>6.8648281796869214E-12</v>
      </c>
      <c r="AZ67" s="600">
        <f t="shared" si="96"/>
        <v>6000000</v>
      </c>
      <c r="BA67" s="600">
        <f t="shared" si="97"/>
        <v>0</v>
      </c>
      <c r="BB67" s="600">
        <f t="shared" si="98"/>
        <v>0</v>
      </c>
      <c r="BC67" s="600">
        <f t="shared" si="99"/>
        <v>0</v>
      </c>
      <c r="BD67" s="600">
        <f t="shared" si="100"/>
        <v>0</v>
      </c>
      <c r="BE67" s="600">
        <f t="shared" si="101"/>
        <v>3489024.9275386948</v>
      </c>
      <c r="BF67" s="600">
        <f t="shared" si="102"/>
        <v>6000000</v>
      </c>
      <c r="BG67" s="600">
        <v>0</v>
      </c>
      <c r="BH67" s="600">
        <v>0</v>
      </c>
      <c r="BI67" s="600">
        <f t="shared" si="103"/>
        <v>0</v>
      </c>
      <c r="BJ67" s="600">
        <f t="shared" si="104"/>
        <v>6000000</v>
      </c>
      <c r="BK67" s="600">
        <f t="shared" si="105"/>
        <v>2107799.9999999995</v>
      </c>
      <c r="BL67" s="600">
        <v>6000000</v>
      </c>
      <c r="BM67" s="600">
        <f t="shared" si="106"/>
        <v>0</v>
      </c>
      <c r="BN67" s="600">
        <f t="shared" si="107"/>
        <v>0</v>
      </c>
      <c r="BO67" s="600">
        <f t="shared" si="108"/>
        <v>0</v>
      </c>
      <c r="BP67" s="600">
        <f t="shared" si="109"/>
        <v>2107799.9999999995</v>
      </c>
      <c r="BQ67" s="600">
        <f t="shared" si="110"/>
        <v>0</v>
      </c>
      <c r="BR67" s="600">
        <f t="shared" si="111"/>
        <v>0</v>
      </c>
      <c r="BT67" s="606">
        <f t="shared" si="112"/>
        <v>1</v>
      </c>
      <c r="BU67" s="607">
        <f t="shared" si="113"/>
        <v>0</v>
      </c>
      <c r="BV67" s="606">
        <f t="shared" si="114"/>
        <v>1.1015666478844515</v>
      </c>
      <c r="BW67" s="607">
        <f t="shared" si="115"/>
        <v>0</v>
      </c>
      <c r="BX67" s="607">
        <f t="shared" si="116"/>
        <v>0</v>
      </c>
      <c r="BY67" s="607">
        <f t="shared" si="117"/>
        <v>0</v>
      </c>
      <c r="BZ67" s="607">
        <f t="shared" si="118"/>
        <v>0</v>
      </c>
      <c r="CA67" s="607">
        <f t="shared" si="119"/>
        <v>0</v>
      </c>
      <c r="CB67" s="607">
        <f t="shared" si="78"/>
        <v>0</v>
      </c>
      <c r="CC67" s="607">
        <f t="shared" si="120"/>
        <v>1225694.4570443432</v>
      </c>
      <c r="CD67" s="607">
        <f t="shared" si="121"/>
        <v>3489024.9275386948</v>
      </c>
      <c r="CE67" s="607">
        <f t="shared" si="122"/>
        <v>3489024.9275386948</v>
      </c>
      <c r="CF67" s="607">
        <f t="shared" si="123"/>
        <v>1681615.71</v>
      </c>
      <c r="CG67" s="607">
        <f t="shared" si="124"/>
        <v>0</v>
      </c>
      <c r="CH67" s="607">
        <f t="shared" si="125"/>
        <v>7681615.71</v>
      </c>
      <c r="CI67" s="609"/>
      <c r="CK67" s="610" t="str">
        <f t="shared" si="79"/>
        <v/>
      </c>
      <c r="CL67" s="611" t="str">
        <f>IF(CK67="","",COUNTIFS($CK$16:CK67,"Yes")+MAX(State!AD:AD))</f>
        <v/>
      </c>
      <c r="CM67" s="612" t="b">
        <f>IF(C67="", "", AND(INDEX('Summary Dynamic'!$D$8:$D$10, MATCH(H67, 'Summary Dynamic'!$C$8:$C$10, 0))="Include", INDEX('Summary Dynamic'!$D$12:$D$14, MATCH(I67, 'Summary Dynamic'!$C$12:$C$14, 0))="Include", INDEX('Summary Dynamic'!$D$16:$D$17, MATCH(J67, 'Summary Dynamic'!$C$16:$C$17, 0))="Include", INDEX('Summary Dynamic'!$D$19:$D$20, MATCH(K67, 'Summary Dynamic'!$C$19:$C$20, 0))="Include", INDEX('Summary Dynamic'!$D$25:$D$26, MATCH(L67, 'Summary Dynamic'!$C$25:$C$26, 0))="Include",'Summary Dynamic'!$D$23="Include"))</f>
        <v>1</v>
      </c>
      <c r="CN67" s="613">
        <f>IFERROR(IF(CM67=TRUE, COUNTIFS($CM$16:CM67, TRUE), ""), "")</f>
        <v>52</v>
      </c>
      <c r="CP67" s="614" t="str">
        <f t="shared" si="126"/>
        <v>Rural Private</v>
      </c>
      <c r="CY67" s="615"/>
      <c r="CZ67" s="616"/>
    </row>
    <row r="68" spans="2:104" x14ac:dyDescent="0.25">
      <c r="B68" s="617">
        <f t="shared" si="67"/>
        <v>53</v>
      </c>
      <c r="C68" s="593" t="s">
        <v>637</v>
      </c>
      <c r="D68" s="594" t="s">
        <v>637</v>
      </c>
      <c r="E68" s="594" t="s">
        <v>638</v>
      </c>
      <c r="F68" s="407" t="s">
        <v>639</v>
      </c>
      <c r="G68" s="408" t="s">
        <v>282</v>
      </c>
      <c r="H68" s="408" t="s">
        <v>22</v>
      </c>
      <c r="I68" s="408" t="s">
        <v>26</v>
      </c>
      <c r="J68" s="408" t="s">
        <v>35</v>
      </c>
      <c r="K68" s="408" t="s">
        <v>35</v>
      </c>
      <c r="L68" s="408" t="s">
        <v>37</v>
      </c>
      <c r="M68" s="408" t="s">
        <v>35</v>
      </c>
      <c r="N68" s="595" t="str">
        <f t="shared" si="84"/>
        <v>No</v>
      </c>
      <c r="O68" s="596">
        <v>27904</v>
      </c>
      <c r="P68" s="596">
        <v>47745</v>
      </c>
      <c r="Q68" s="597">
        <v>0.54315411261271807</v>
      </c>
      <c r="R68" s="596">
        <f t="shared" si="68"/>
        <v>25932.893106694224</v>
      </c>
      <c r="S68" s="596">
        <f t="shared" si="69"/>
        <v>53836.893106694224</v>
      </c>
      <c r="T68" s="596">
        <f t="shared" si="85"/>
        <v>53836.893106694224</v>
      </c>
      <c r="U68" s="598">
        <f t="shared" si="70"/>
        <v>1.259526595043689E-2</v>
      </c>
      <c r="V68" s="599">
        <f t="shared" si="80"/>
        <v>0</v>
      </c>
      <c r="W68" s="600">
        <v>292637.48264057538</v>
      </c>
      <c r="X68" s="600">
        <v>0</v>
      </c>
      <c r="Y68" s="600">
        <v>0</v>
      </c>
      <c r="Z68" s="600">
        <f t="shared" si="71"/>
        <v>0</v>
      </c>
      <c r="AA68" s="600">
        <f t="shared" si="72"/>
        <v>292637.48264057538</v>
      </c>
      <c r="AB68" s="601">
        <f t="shared" si="86"/>
        <v>0</v>
      </c>
      <c r="AC68" s="599">
        <v>0</v>
      </c>
      <c r="AD68" s="599">
        <f>MAX(IF(M68="Yes",'Assumption Inputs'!$C$40,'Assumption Inputs'!$C$41),AC68)</f>
        <v>6000000</v>
      </c>
      <c r="AE68" s="599">
        <f t="shared" si="81"/>
        <v>189833.93498894127</v>
      </c>
      <c r="AF68" s="599">
        <f t="shared" si="87"/>
        <v>0</v>
      </c>
      <c r="AG68" s="599">
        <f t="shared" si="82"/>
        <v>0</v>
      </c>
      <c r="AH68" s="599">
        <f t="shared" si="83"/>
        <v>189833.93498894127</v>
      </c>
      <c r="AI68" s="599">
        <v>21128106.356859464</v>
      </c>
      <c r="AJ68" s="599">
        <v>21025302.809207834</v>
      </c>
      <c r="AK68" s="602">
        <f t="shared" si="74"/>
        <v>0.99513427536215271</v>
      </c>
      <c r="AL68" s="603">
        <f t="shared" si="25"/>
        <v>0</v>
      </c>
      <c r="AM68" s="600">
        <f t="shared" si="75"/>
        <v>189833.93498894127</v>
      </c>
      <c r="AN68" s="600">
        <f t="shared" si="88"/>
        <v>189833.93498894127</v>
      </c>
      <c r="AO68" s="600">
        <f t="shared" si="27"/>
        <v>0</v>
      </c>
      <c r="AP68" s="600">
        <f t="shared" si="28"/>
        <v>102803.54765163412</v>
      </c>
      <c r="AQ68" s="600">
        <f t="shared" si="76"/>
        <v>0</v>
      </c>
      <c r="AR68" s="600">
        <f t="shared" si="77"/>
        <v>189833.93498894127</v>
      </c>
      <c r="AS68" s="604">
        <f t="shared" si="89"/>
        <v>0</v>
      </c>
      <c r="AT68" s="605">
        <f t="shared" si="90"/>
        <v>0</v>
      </c>
      <c r="AU68" s="600">
        <f t="shared" si="91"/>
        <v>189833.93498894127</v>
      </c>
      <c r="AV68" s="600">
        <f t="shared" si="92"/>
        <v>189833.93498894127</v>
      </c>
      <c r="AW68" s="600">
        <f t="shared" si="93"/>
        <v>0</v>
      </c>
      <c r="AX68" s="600">
        <f t="shared" si="94"/>
        <v>102803.54765163412</v>
      </c>
      <c r="AY68" s="600">
        <f t="shared" si="95"/>
        <v>2.0227103719450234E-13</v>
      </c>
      <c r="AZ68" s="600">
        <f t="shared" si="96"/>
        <v>189833.93498894127</v>
      </c>
      <c r="BA68" s="600">
        <f t="shared" si="97"/>
        <v>0</v>
      </c>
      <c r="BB68" s="600">
        <f t="shared" si="98"/>
        <v>0</v>
      </c>
      <c r="BC68" s="600">
        <f t="shared" si="99"/>
        <v>0</v>
      </c>
      <c r="BD68" s="600">
        <f t="shared" si="100"/>
        <v>0</v>
      </c>
      <c r="BE68" s="600">
        <f t="shared" si="101"/>
        <v>102803.54765163412</v>
      </c>
      <c r="BF68" s="600">
        <f t="shared" si="102"/>
        <v>189833.93498894127</v>
      </c>
      <c r="BG68" s="600">
        <v>0</v>
      </c>
      <c r="BH68" s="600">
        <v>0</v>
      </c>
      <c r="BI68" s="600">
        <f t="shared" si="103"/>
        <v>0</v>
      </c>
      <c r="BJ68" s="600">
        <f t="shared" si="104"/>
        <v>189833.93</v>
      </c>
      <c r="BK68" s="600">
        <f t="shared" si="105"/>
        <v>66688.65960899998</v>
      </c>
      <c r="BL68" s="600">
        <v>189833.93</v>
      </c>
      <c r="BM68" s="600">
        <f t="shared" si="106"/>
        <v>0</v>
      </c>
      <c r="BN68" s="600">
        <f t="shared" si="107"/>
        <v>0</v>
      </c>
      <c r="BO68" s="600">
        <f t="shared" si="108"/>
        <v>0</v>
      </c>
      <c r="BP68" s="600">
        <f t="shared" si="109"/>
        <v>66688.65960899998</v>
      </c>
      <c r="BQ68" s="600">
        <f t="shared" si="110"/>
        <v>0</v>
      </c>
      <c r="BR68" s="600">
        <f t="shared" si="111"/>
        <v>0</v>
      </c>
      <c r="BT68" s="606">
        <f t="shared" si="112"/>
        <v>1</v>
      </c>
      <c r="BU68" s="607">
        <f t="shared" si="113"/>
        <v>0</v>
      </c>
      <c r="BV68" s="606">
        <f t="shared" si="114"/>
        <v>1</v>
      </c>
      <c r="BW68" s="607">
        <f t="shared" si="115"/>
        <v>0</v>
      </c>
      <c r="BX68" s="607">
        <f t="shared" si="116"/>
        <v>0</v>
      </c>
      <c r="BY68" s="607">
        <f t="shared" si="117"/>
        <v>0</v>
      </c>
      <c r="BZ68" s="607">
        <f t="shared" si="118"/>
        <v>0</v>
      </c>
      <c r="CA68" s="607">
        <f t="shared" si="119"/>
        <v>0</v>
      </c>
      <c r="CB68" s="607">
        <f t="shared" si="78"/>
        <v>0</v>
      </c>
      <c r="CC68" s="607">
        <f t="shared" si="120"/>
        <v>0</v>
      </c>
      <c r="CD68" s="607">
        <f t="shared" si="121"/>
        <v>0</v>
      </c>
      <c r="CE68" s="607">
        <f t="shared" si="122"/>
        <v>0</v>
      </c>
      <c r="CF68" s="607">
        <f t="shared" si="123"/>
        <v>0</v>
      </c>
      <c r="CG68" s="607">
        <f t="shared" si="124"/>
        <v>0</v>
      </c>
      <c r="CH68" s="607">
        <f t="shared" si="125"/>
        <v>189833.93</v>
      </c>
      <c r="CI68" s="609"/>
      <c r="CK68" s="610" t="str">
        <f t="shared" si="79"/>
        <v/>
      </c>
      <c r="CL68" s="611" t="str">
        <f>IF(CK68="","",COUNTIFS($CK$16:CK68,"Yes")+MAX(State!AD:AD))</f>
        <v/>
      </c>
      <c r="CM68" s="612" t="b">
        <f>IF(C68="", "", AND(INDEX('Summary Dynamic'!$D$8:$D$10, MATCH(H68, 'Summary Dynamic'!$C$8:$C$10, 0))="Include", INDEX('Summary Dynamic'!$D$12:$D$14, MATCH(I68, 'Summary Dynamic'!$C$12:$C$14, 0))="Include", INDEX('Summary Dynamic'!$D$16:$D$17, MATCH(J68, 'Summary Dynamic'!$C$16:$C$17, 0))="Include", INDEX('Summary Dynamic'!$D$19:$D$20, MATCH(K68, 'Summary Dynamic'!$C$19:$C$20, 0))="Include", INDEX('Summary Dynamic'!$D$25:$D$26, MATCH(L68, 'Summary Dynamic'!$C$25:$C$26, 0))="Include",'Summary Dynamic'!$D$23="Include"))</f>
        <v>1</v>
      </c>
      <c r="CN68" s="613">
        <f>IFERROR(IF(CM68=TRUE, COUNTIFS($CM$16:CM68, TRUE), ""), "")</f>
        <v>53</v>
      </c>
      <c r="CP68" s="614" t="str">
        <f t="shared" si="126"/>
        <v>Non-Rural Private</v>
      </c>
      <c r="CY68" s="615"/>
      <c r="CZ68" s="616"/>
    </row>
    <row r="69" spans="2:104" x14ac:dyDescent="0.25">
      <c r="B69" s="617">
        <f t="shared" si="67"/>
        <v>54</v>
      </c>
      <c r="C69" s="593" t="s">
        <v>640</v>
      </c>
      <c r="D69" s="594" t="s">
        <v>640</v>
      </c>
      <c r="E69" s="594" t="s">
        <v>641</v>
      </c>
      <c r="F69" s="407" t="s">
        <v>642</v>
      </c>
      <c r="G69" s="408" t="s">
        <v>485</v>
      </c>
      <c r="H69" s="408" t="s">
        <v>11</v>
      </c>
      <c r="I69" s="408" t="s">
        <v>28</v>
      </c>
      <c r="J69" s="408" t="s">
        <v>35</v>
      </c>
      <c r="K69" s="408" t="s">
        <v>35</v>
      </c>
      <c r="L69" s="408" t="s">
        <v>35</v>
      </c>
      <c r="M69" s="408" t="s">
        <v>37</v>
      </c>
      <c r="N69" s="595" t="str">
        <f t="shared" si="84"/>
        <v>No</v>
      </c>
      <c r="O69" s="596">
        <v>53645</v>
      </c>
      <c r="P69" s="596">
        <v>213220</v>
      </c>
      <c r="Q69" s="597">
        <v>0.61806375107550171</v>
      </c>
      <c r="R69" s="596">
        <f t="shared" si="68"/>
        <v>131783.55300431847</v>
      </c>
      <c r="S69" s="596">
        <f t="shared" si="69"/>
        <v>185428.55300431847</v>
      </c>
      <c r="T69" s="596">
        <f t="shared" si="85"/>
        <v>185428.55300431847</v>
      </c>
      <c r="U69" s="598">
        <f t="shared" si="70"/>
        <v>4.338143984768076E-2</v>
      </c>
      <c r="V69" s="599">
        <f t="shared" si="80"/>
        <v>0</v>
      </c>
      <c r="W69" s="600">
        <v>341313780.03966665</v>
      </c>
      <c r="X69" s="600">
        <v>0</v>
      </c>
      <c r="Y69" s="600">
        <v>119071385.63812852</v>
      </c>
      <c r="Z69" s="600">
        <f t="shared" si="71"/>
        <v>0</v>
      </c>
      <c r="AA69" s="600">
        <f t="shared" si="72"/>
        <v>341313780.03966665</v>
      </c>
      <c r="AB69" s="601">
        <f t="shared" si="86"/>
        <v>0.20139272338442063</v>
      </c>
      <c r="AC69" s="599">
        <v>0</v>
      </c>
      <c r="AD69" s="599">
        <f>MAX(IF(M69="Yes",'Assumption Inputs'!$C$40,'Assumption Inputs'!$C$41),AC69)</f>
        <v>8000000</v>
      </c>
      <c r="AE69" s="599">
        <f t="shared" si="81"/>
        <v>8000000</v>
      </c>
      <c r="AF69" s="599">
        <f t="shared" si="87"/>
        <v>4332357.0217357781</v>
      </c>
      <c r="AG69" s="599">
        <f t="shared" si="82"/>
        <v>64194528.163932182</v>
      </c>
      <c r="AH69" s="599">
        <f t="shared" si="83"/>
        <v>12332357.021735778</v>
      </c>
      <c r="AI69" s="599">
        <v>621142317.00846934</v>
      </c>
      <c r="AJ69" s="599">
        <v>292160893.99053854</v>
      </c>
      <c r="AK69" s="602">
        <f t="shared" si="74"/>
        <v>0.47036063393271416</v>
      </c>
      <c r="AL69" s="603">
        <f t="shared" si="25"/>
        <v>89199637.520927846</v>
      </c>
      <c r="AM69" s="600">
        <f t="shared" si="75"/>
        <v>97199637.520927846</v>
      </c>
      <c r="AN69" s="600">
        <f t="shared" si="88"/>
        <v>97199637.520927846</v>
      </c>
      <c r="AO69" s="600">
        <f t="shared" si="27"/>
        <v>0</v>
      </c>
      <c r="AP69" s="600">
        <f t="shared" si="28"/>
        <v>244114142.51873881</v>
      </c>
      <c r="AQ69" s="600">
        <f t="shared" si="76"/>
        <v>0</v>
      </c>
      <c r="AR69" s="600">
        <f t="shared" si="77"/>
        <v>97199637.520927846</v>
      </c>
      <c r="AS69" s="604">
        <f t="shared" si="89"/>
        <v>52637941.515495516</v>
      </c>
      <c r="AT69" s="605">
        <f t="shared" si="90"/>
        <v>72917770.596941873</v>
      </c>
      <c r="AU69" s="600">
        <f t="shared" si="91"/>
        <v>222755349.63336521</v>
      </c>
      <c r="AV69" s="600">
        <f t="shared" si="92"/>
        <v>222755349.63336521</v>
      </c>
      <c r="AW69" s="600">
        <f t="shared" si="93"/>
        <v>0</v>
      </c>
      <c r="AX69" s="600">
        <f t="shared" si="94"/>
        <v>118558430.40630144</v>
      </c>
      <c r="AY69" s="600">
        <f t="shared" si="95"/>
        <v>2.3326954404042515E-10</v>
      </c>
      <c r="AZ69" s="600">
        <f t="shared" si="96"/>
        <v>222755349.63336521</v>
      </c>
      <c r="BA69" s="600">
        <f t="shared" si="97"/>
        <v>0</v>
      </c>
      <c r="BB69" s="600">
        <f t="shared" si="98"/>
        <v>8.1947590821401338E-11</v>
      </c>
      <c r="BC69" s="600">
        <f t="shared" si="99"/>
        <v>2.2381411111154029E-10</v>
      </c>
      <c r="BD69" s="600">
        <f t="shared" si="100"/>
        <v>125555712.1124374</v>
      </c>
      <c r="BE69" s="600">
        <f t="shared" si="101"/>
        <v>118558430.40630144</v>
      </c>
      <c r="BF69" s="600">
        <f t="shared" si="102"/>
        <v>97199637.520927817</v>
      </c>
      <c r="BG69" s="600">
        <v>0</v>
      </c>
      <c r="BH69" s="600">
        <v>0</v>
      </c>
      <c r="BI69" s="600">
        <f t="shared" si="103"/>
        <v>0</v>
      </c>
      <c r="BJ69" s="600">
        <f t="shared" si="104"/>
        <v>222755349.63</v>
      </c>
      <c r="BK69" s="600">
        <f t="shared" si="105"/>
        <v>78253954.325018987</v>
      </c>
      <c r="BL69" s="600">
        <v>222755349.63</v>
      </c>
      <c r="BM69" s="600">
        <f t="shared" si="106"/>
        <v>0</v>
      </c>
      <c r="BN69" s="600">
        <f t="shared" si="107"/>
        <v>0</v>
      </c>
      <c r="BO69" s="600">
        <f t="shared" si="108"/>
        <v>125555712.11</v>
      </c>
      <c r="BP69" s="600">
        <f t="shared" si="109"/>
        <v>78253954.325018987</v>
      </c>
      <c r="BQ69" s="600">
        <f t="shared" si="110"/>
        <v>47301757.785734601</v>
      </c>
      <c r="BR69" s="600">
        <f t="shared" si="111"/>
        <v>125555712.11</v>
      </c>
      <c r="BT69" s="606">
        <f t="shared" si="112"/>
        <v>1</v>
      </c>
      <c r="BU69" s="607">
        <f t="shared" si="113"/>
        <v>0</v>
      </c>
      <c r="BV69" s="606">
        <f t="shared" si="114"/>
        <v>1</v>
      </c>
      <c r="BW69" s="607">
        <f t="shared" si="115"/>
        <v>0</v>
      </c>
      <c r="BX69" s="607">
        <f t="shared" si="116"/>
        <v>0</v>
      </c>
      <c r="BY69" s="607">
        <f t="shared" si="117"/>
        <v>0</v>
      </c>
      <c r="BZ69" s="607">
        <f t="shared" si="118"/>
        <v>0</v>
      </c>
      <c r="CA69" s="607">
        <f t="shared" si="119"/>
        <v>0</v>
      </c>
      <c r="CB69" s="607">
        <f t="shared" si="78"/>
        <v>0</v>
      </c>
      <c r="CC69" s="607">
        <f t="shared" si="120"/>
        <v>0</v>
      </c>
      <c r="CD69" s="607">
        <f t="shared" si="121"/>
        <v>0</v>
      </c>
      <c r="CE69" s="607">
        <f t="shared" si="122"/>
        <v>0</v>
      </c>
      <c r="CF69" s="607">
        <f t="shared" si="123"/>
        <v>0</v>
      </c>
      <c r="CG69" s="607">
        <f t="shared" si="124"/>
        <v>1773135.417962109</v>
      </c>
      <c r="CH69" s="607">
        <f t="shared" si="125"/>
        <v>224528485.0479621</v>
      </c>
      <c r="CI69" s="609"/>
      <c r="CK69" s="610" t="str">
        <f t="shared" si="79"/>
        <v/>
      </c>
      <c r="CL69" s="611" t="str">
        <f>IF(CK69="","",COUNTIFS($CK$16:CK69,"Yes")+MAX(State!AD:AD))</f>
        <v/>
      </c>
      <c r="CM69" s="612" t="b">
        <f>IF(C69="", "", AND(INDEX('Summary Dynamic'!$D$8:$D$10, MATCH(H69, 'Summary Dynamic'!$C$8:$C$10, 0))="Include", INDEX('Summary Dynamic'!$D$12:$D$14, MATCH(I69, 'Summary Dynamic'!$C$12:$C$14, 0))="Include", INDEX('Summary Dynamic'!$D$16:$D$17, MATCH(J69, 'Summary Dynamic'!$C$16:$C$17, 0))="Include", INDEX('Summary Dynamic'!$D$19:$D$20, MATCH(K69, 'Summary Dynamic'!$C$19:$C$20, 0))="Include", INDEX('Summary Dynamic'!$D$25:$D$26, MATCH(L69, 'Summary Dynamic'!$C$25:$C$26, 0))="Include",'Summary Dynamic'!$D$23="Include"))</f>
        <v>1</v>
      </c>
      <c r="CN69" s="613">
        <f>IFERROR(IF(CM69=TRUE, COUNTIFS($CM$16:CM69, TRUE), ""), "")</f>
        <v>54</v>
      </c>
      <c r="CP69" s="614" t="str">
        <f t="shared" si="126"/>
        <v>Urban Public Class 1</v>
      </c>
      <c r="CY69" s="615"/>
      <c r="CZ69" s="616"/>
    </row>
    <row r="70" spans="2:104" x14ac:dyDescent="0.25">
      <c r="B70" s="617">
        <f t="shared" si="67"/>
        <v>55</v>
      </c>
      <c r="C70" s="593" t="s">
        <v>643</v>
      </c>
      <c r="D70" s="594" t="s">
        <v>643</v>
      </c>
      <c r="E70" s="594" t="s">
        <v>644</v>
      </c>
      <c r="F70" s="407" t="s">
        <v>645</v>
      </c>
      <c r="G70" s="408" t="s">
        <v>646</v>
      </c>
      <c r="H70" s="408" t="s">
        <v>22</v>
      </c>
      <c r="I70" s="408" t="s">
        <v>26</v>
      </c>
      <c r="J70" s="408" t="s">
        <v>31</v>
      </c>
      <c r="K70" s="408" t="s">
        <v>35</v>
      </c>
      <c r="L70" s="408" t="s">
        <v>35</v>
      </c>
      <c r="M70" s="408" t="s">
        <v>35</v>
      </c>
      <c r="N70" s="595" t="str">
        <f t="shared" si="84"/>
        <v>No</v>
      </c>
      <c r="O70" s="596">
        <v>1587</v>
      </c>
      <c r="P70" s="596">
        <v>6947</v>
      </c>
      <c r="Q70" s="597">
        <v>0.15481539787267473</v>
      </c>
      <c r="R70" s="596">
        <f t="shared" si="68"/>
        <v>1075.5025690214713</v>
      </c>
      <c r="S70" s="596">
        <f t="shared" si="69"/>
        <v>2662.5025690214716</v>
      </c>
      <c r="T70" s="596">
        <f t="shared" si="85"/>
        <v>2662.5025690214716</v>
      </c>
      <c r="U70" s="598">
        <f t="shared" si="70"/>
        <v>6.2289864840616262E-4</v>
      </c>
      <c r="V70" s="599">
        <f t="shared" si="80"/>
        <v>0</v>
      </c>
      <c r="W70" s="600">
        <v>1649606.5104311008</v>
      </c>
      <c r="X70" s="600">
        <v>0</v>
      </c>
      <c r="Y70" s="600">
        <v>1431145.6059942008</v>
      </c>
      <c r="Z70" s="600">
        <f t="shared" si="71"/>
        <v>0</v>
      </c>
      <c r="AA70" s="600">
        <f t="shared" si="72"/>
        <v>1649606.5104311008</v>
      </c>
      <c r="AB70" s="601">
        <f t="shared" si="86"/>
        <v>0</v>
      </c>
      <c r="AC70" s="599">
        <v>0</v>
      </c>
      <c r="AD70" s="599">
        <f>MAX(IF(M70="Yes",'Assumption Inputs'!$C$40,'Assumption Inputs'!$C$41),AC70)</f>
        <v>6000000</v>
      </c>
      <c r="AE70" s="599">
        <f t="shared" si="81"/>
        <v>1070099.7433166553</v>
      </c>
      <c r="AF70" s="599">
        <f t="shared" si="87"/>
        <v>0</v>
      </c>
      <c r="AG70" s="599">
        <f t="shared" si="82"/>
        <v>0</v>
      </c>
      <c r="AH70" s="599">
        <f t="shared" si="83"/>
        <v>1070099.7433166553</v>
      </c>
      <c r="AI70" s="599">
        <v>14094228.832773618</v>
      </c>
      <c r="AJ70" s="599">
        <v>13514722.065659173</v>
      </c>
      <c r="AK70" s="602">
        <f t="shared" si="74"/>
        <v>0.95888340014979001</v>
      </c>
      <c r="AL70" s="603">
        <f t="shared" si="25"/>
        <v>0</v>
      </c>
      <c r="AM70" s="600">
        <f t="shared" si="75"/>
        <v>1070099.7433166553</v>
      </c>
      <c r="AN70" s="600">
        <f t="shared" si="88"/>
        <v>1070099.7433166553</v>
      </c>
      <c r="AO70" s="600">
        <f t="shared" si="27"/>
        <v>0</v>
      </c>
      <c r="AP70" s="600">
        <f t="shared" si="28"/>
        <v>579506.76711444557</v>
      </c>
      <c r="AQ70" s="600">
        <f t="shared" si="76"/>
        <v>0</v>
      </c>
      <c r="AR70" s="600">
        <f t="shared" si="77"/>
        <v>1070099.7433166553</v>
      </c>
      <c r="AS70" s="604">
        <f t="shared" si="89"/>
        <v>0</v>
      </c>
      <c r="AT70" s="605">
        <f t="shared" si="90"/>
        <v>0</v>
      </c>
      <c r="AU70" s="600">
        <f t="shared" si="91"/>
        <v>1070099.7433166553</v>
      </c>
      <c r="AV70" s="600">
        <f t="shared" si="92"/>
        <v>1070099.7433166553</v>
      </c>
      <c r="AW70" s="600">
        <f t="shared" si="93"/>
        <v>0</v>
      </c>
      <c r="AX70" s="600">
        <f t="shared" si="94"/>
        <v>579506.76711444557</v>
      </c>
      <c r="AY70" s="600">
        <f t="shared" si="95"/>
        <v>1.1402080718330988E-12</v>
      </c>
      <c r="AZ70" s="600">
        <f t="shared" si="96"/>
        <v>1070099.7433166553</v>
      </c>
      <c r="BA70" s="600">
        <f t="shared" si="97"/>
        <v>0</v>
      </c>
      <c r="BB70" s="600">
        <f t="shared" si="98"/>
        <v>0</v>
      </c>
      <c r="BC70" s="600">
        <f t="shared" si="99"/>
        <v>0</v>
      </c>
      <c r="BD70" s="600">
        <f t="shared" si="100"/>
        <v>0</v>
      </c>
      <c r="BE70" s="600">
        <f t="shared" si="101"/>
        <v>579506.76711444557</v>
      </c>
      <c r="BF70" s="600">
        <f t="shared" si="102"/>
        <v>1070099.7433166553</v>
      </c>
      <c r="BG70" s="600">
        <v>0</v>
      </c>
      <c r="BH70" s="600">
        <v>0</v>
      </c>
      <c r="BI70" s="600">
        <f t="shared" si="103"/>
        <v>0</v>
      </c>
      <c r="BJ70" s="600">
        <f t="shared" si="104"/>
        <v>1070099.74</v>
      </c>
      <c r="BK70" s="600">
        <f t="shared" si="105"/>
        <v>375926.03866199992</v>
      </c>
      <c r="BL70" s="600">
        <v>1070099.74</v>
      </c>
      <c r="BM70" s="600">
        <f t="shared" si="106"/>
        <v>0</v>
      </c>
      <c r="BN70" s="600">
        <f t="shared" si="107"/>
        <v>0</v>
      </c>
      <c r="BO70" s="600">
        <f t="shared" si="108"/>
        <v>0</v>
      </c>
      <c r="BP70" s="600">
        <f t="shared" si="109"/>
        <v>375926.03866199992</v>
      </c>
      <c r="BQ70" s="600">
        <f t="shared" si="110"/>
        <v>0</v>
      </c>
      <c r="BR70" s="600">
        <f t="shared" si="111"/>
        <v>0</v>
      </c>
      <c r="BT70" s="606">
        <f t="shared" si="112"/>
        <v>1</v>
      </c>
      <c r="BU70" s="607">
        <f t="shared" si="113"/>
        <v>0</v>
      </c>
      <c r="BV70" s="606">
        <f t="shared" si="114"/>
        <v>1.0348080749011799</v>
      </c>
      <c r="BW70" s="607">
        <f t="shared" si="115"/>
        <v>0</v>
      </c>
      <c r="BX70" s="607">
        <f t="shared" si="116"/>
        <v>0</v>
      </c>
      <c r="BY70" s="607">
        <f t="shared" si="117"/>
        <v>0</v>
      </c>
      <c r="BZ70" s="607">
        <f t="shared" si="118"/>
        <v>0</v>
      </c>
      <c r="CA70" s="607">
        <f t="shared" si="119"/>
        <v>0</v>
      </c>
      <c r="CB70" s="607">
        <f t="shared" si="78"/>
        <v>0</v>
      </c>
      <c r="CC70" s="607">
        <f t="shared" si="120"/>
        <v>203580.7272873047</v>
      </c>
      <c r="CD70" s="607">
        <f t="shared" si="121"/>
        <v>579506.76711444557</v>
      </c>
      <c r="CE70" s="607">
        <f t="shared" si="122"/>
        <v>579506.76711444557</v>
      </c>
      <c r="CF70" s="607">
        <f t="shared" si="123"/>
        <v>279306.59999999998</v>
      </c>
      <c r="CG70" s="607">
        <f t="shared" si="124"/>
        <v>0</v>
      </c>
      <c r="CH70" s="607">
        <f t="shared" si="125"/>
        <v>1349406.3399999999</v>
      </c>
      <c r="CI70" s="609"/>
      <c r="CK70" s="610" t="str">
        <f t="shared" si="79"/>
        <v/>
      </c>
      <c r="CL70" s="611" t="str">
        <f>IF(CK70="","",COUNTIFS($CK$16:CK70,"Yes")+MAX(State!AD:AD))</f>
        <v/>
      </c>
      <c r="CM70" s="612" t="b">
        <f>IF(C70="", "", AND(INDEX('Summary Dynamic'!$D$8:$D$10, MATCH(H70, 'Summary Dynamic'!$C$8:$C$10, 0))="Include", INDEX('Summary Dynamic'!$D$12:$D$14, MATCH(I70, 'Summary Dynamic'!$C$12:$C$14, 0))="Include", INDEX('Summary Dynamic'!$D$16:$D$17, MATCH(J70, 'Summary Dynamic'!$C$16:$C$17, 0))="Include", INDEX('Summary Dynamic'!$D$19:$D$20, MATCH(K70, 'Summary Dynamic'!$C$19:$C$20, 0))="Include", INDEX('Summary Dynamic'!$D$25:$D$26, MATCH(L70, 'Summary Dynamic'!$C$25:$C$26, 0))="Include",'Summary Dynamic'!$D$23="Include"))</f>
        <v>1</v>
      </c>
      <c r="CN70" s="613">
        <f>IFERROR(IF(CM70=TRUE, COUNTIFS($CM$16:CM70, TRUE), ""), "")</f>
        <v>55</v>
      </c>
      <c r="CP70" s="614" t="str">
        <f t="shared" si="126"/>
        <v>Rural Private</v>
      </c>
      <c r="CY70" s="615"/>
      <c r="CZ70" s="616"/>
    </row>
    <row r="71" spans="2:104" x14ac:dyDescent="0.25">
      <c r="B71" s="617">
        <f t="shared" si="67"/>
        <v>56</v>
      </c>
      <c r="C71" s="593" t="s">
        <v>647</v>
      </c>
      <c r="D71" s="594" t="s">
        <v>647</v>
      </c>
      <c r="E71" s="594" t="s">
        <v>648</v>
      </c>
      <c r="F71" s="407" t="s">
        <v>649</v>
      </c>
      <c r="G71" s="408" t="s">
        <v>650</v>
      </c>
      <c r="H71" s="408" t="s">
        <v>22</v>
      </c>
      <c r="I71" s="408" t="s">
        <v>26</v>
      </c>
      <c r="J71" s="408" t="s">
        <v>35</v>
      </c>
      <c r="K71" s="408" t="s">
        <v>35</v>
      </c>
      <c r="L71" s="408" t="s">
        <v>35</v>
      </c>
      <c r="M71" s="408" t="s">
        <v>37</v>
      </c>
      <c r="N71" s="595" t="str">
        <f t="shared" si="84"/>
        <v>No</v>
      </c>
      <c r="O71" s="596">
        <v>10565</v>
      </c>
      <c r="P71" s="596">
        <v>82978</v>
      </c>
      <c r="Q71" s="597">
        <v>9.8045366643250365E-2</v>
      </c>
      <c r="R71" s="596">
        <f t="shared" si="68"/>
        <v>8135.6084333236286</v>
      </c>
      <c r="S71" s="596">
        <f t="shared" si="69"/>
        <v>18700.608433323629</v>
      </c>
      <c r="T71" s="596">
        <f t="shared" si="85"/>
        <v>18700.608433323629</v>
      </c>
      <c r="U71" s="598">
        <f t="shared" si="70"/>
        <v>4.375050695921502E-3</v>
      </c>
      <c r="V71" s="599">
        <f t="shared" si="80"/>
        <v>0</v>
      </c>
      <c r="W71" s="600">
        <v>46942275.934110448</v>
      </c>
      <c r="X71" s="600">
        <v>0</v>
      </c>
      <c r="Y71" s="600">
        <v>10713943.355964372</v>
      </c>
      <c r="Z71" s="600">
        <f t="shared" si="71"/>
        <v>0</v>
      </c>
      <c r="AA71" s="600">
        <f t="shared" si="72"/>
        <v>46942275.934110448</v>
      </c>
      <c r="AB71" s="601">
        <f t="shared" si="86"/>
        <v>0</v>
      </c>
      <c r="AC71" s="599">
        <v>5614468.9139860654</v>
      </c>
      <c r="AD71" s="599">
        <f>MAX(IF(M71="Yes",'Assumption Inputs'!$C$40,'Assumption Inputs'!$C$41),AC71)</f>
        <v>8000000</v>
      </c>
      <c r="AE71" s="599">
        <f t="shared" si="81"/>
        <v>8000000</v>
      </c>
      <c r="AF71" s="599">
        <f t="shared" si="87"/>
        <v>0</v>
      </c>
      <c r="AG71" s="599">
        <f t="shared" si="82"/>
        <v>0</v>
      </c>
      <c r="AH71" s="599">
        <f t="shared" si="83"/>
        <v>8000000</v>
      </c>
      <c r="AI71" s="599">
        <v>101277782.56843019</v>
      </c>
      <c r="AJ71" s="599">
        <v>62335506.634319738</v>
      </c>
      <c r="AK71" s="602">
        <f t="shared" si="74"/>
        <v>0.6154904368310159</v>
      </c>
      <c r="AL71" s="603">
        <f t="shared" si="25"/>
        <v>0</v>
      </c>
      <c r="AM71" s="600">
        <f t="shared" si="75"/>
        <v>8000000</v>
      </c>
      <c r="AN71" s="600">
        <f t="shared" si="88"/>
        <v>8000000</v>
      </c>
      <c r="AO71" s="600">
        <f t="shared" si="27"/>
        <v>0</v>
      </c>
      <c r="AP71" s="600">
        <f t="shared" si="28"/>
        <v>38942275.934110448</v>
      </c>
      <c r="AQ71" s="600">
        <f t="shared" si="76"/>
        <v>0</v>
      </c>
      <c r="AR71" s="600">
        <f t="shared" si="77"/>
        <v>8000000</v>
      </c>
      <c r="AS71" s="604">
        <f t="shared" si="89"/>
        <v>0</v>
      </c>
      <c r="AT71" s="605">
        <f t="shared" si="90"/>
        <v>0</v>
      </c>
      <c r="AU71" s="600">
        <f t="shared" si="91"/>
        <v>8000000</v>
      </c>
      <c r="AV71" s="600">
        <f t="shared" si="92"/>
        <v>8000000</v>
      </c>
      <c r="AW71" s="600">
        <f t="shared" si="93"/>
        <v>0</v>
      </c>
      <c r="AX71" s="600">
        <f t="shared" si="94"/>
        <v>38942275.934110448</v>
      </c>
      <c r="AY71" s="600">
        <f t="shared" si="95"/>
        <v>7.6620843578269447E-11</v>
      </c>
      <c r="AZ71" s="600">
        <f t="shared" si="96"/>
        <v>8000000</v>
      </c>
      <c r="BA71" s="600">
        <f t="shared" si="97"/>
        <v>0</v>
      </c>
      <c r="BB71" s="600">
        <f t="shared" si="98"/>
        <v>0</v>
      </c>
      <c r="BC71" s="600">
        <f t="shared" si="99"/>
        <v>0</v>
      </c>
      <c r="BD71" s="600">
        <f t="shared" si="100"/>
        <v>0</v>
      </c>
      <c r="BE71" s="600">
        <f t="shared" si="101"/>
        <v>38942275.934110448</v>
      </c>
      <c r="BF71" s="600">
        <f t="shared" si="102"/>
        <v>8000000</v>
      </c>
      <c r="BG71" s="600">
        <v>0</v>
      </c>
      <c r="BH71" s="600">
        <v>0</v>
      </c>
      <c r="BI71" s="600">
        <f t="shared" si="103"/>
        <v>0</v>
      </c>
      <c r="BJ71" s="600">
        <f t="shared" si="104"/>
        <v>8000000</v>
      </c>
      <c r="BK71" s="600">
        <f t="shared" si="105"/>
        <v>2810399.9999999995</v>
      </c>
      <c r="BL71" s="600">
        <v>8000000</v>
      </c>
      <c r="BM71" s="600">
        <f t="shared" si="106"/>
        <v>0</v>
      </c>
      <c r="BN71" s="600">
        <f t="shared" si="107"/>
        <v>0</v>
      </c>
      <c r="BO71" s="600">
        <f t="shared" si="108"/>
        <v>0</v>
      </c>
      <c r="BP71" s="600">
        <f t="shared" si="109"/>
        <v>2810399.9999999995</v>
      </c>
      <c r="BQ71" s="600">
        <f t="shared" si="110"/>
        <v>0</v>
      </c>
      <c r="BR71" s="600">
        <f t="shared" si="111"/>
        <v>0</v>
      </c>
      <c r="BT71" s="606">
        <f t="shared" si="112"/>
        <v>1</v>
      </c>
      <c r="BU71" s="607">
        <f t="shared" si="113"/>
        <v>0</v>
      </c>
      <c r="BV71" s="606">
        <f t="shared" si="114"/>
        <v>1</v>
      </c>
      <c r="BW71" s="607">
        <f t="shared" si="115"/>
        <v>0</v>
      </c>
      <c r="BX71" s="607">
        <f t="shared" si="116"/>
        <v>0</v>
      </c>
      <c r="BY71" s="607">
        <f t="shared" si="117"/>
        <v>0</v>
      </c>
      <c r="BZ71" s="607">
        <f t="shared" si="118"/>
        <v>0</v>
      </c>
      <c r="CA71" s="607">
        <f t="shared" si="119"/>
        <v>0</v>
      </c>
      <c r="CB71" s="607">
        <f t="shared" si="78"/>
        <v>0</v>
      </c>
      <c r="CC71" s="607">
        <f t="shared" si="120"/>
        <v>0</v>
      </c>
      <c r="CD71" s="607">
        <f t="shared" si="121"/>
        <v>0</v>
      </c>
      <c r="CE71" s="607">
        <f t="shared" si="122"/>
        <v>0</v>
      </c>
      <c r="CF71" s="607">
        <f t="shared" si="123"/>
        <v>0</v>
      </c>
      <c r="CG71" s="607">
        <f t="shared" si="124"/>
        <v>0</v>
      </c>
      <c r="CH71" s="607">
        <f t="shared" si="125"/>
        <v>8000000</v>
      </c>
      <c r="CI71" s="609"/>
      <c r="CK71" s="610" t="str">
        <f t="shared" si="79"/>
        <v/>
      </c>
      <c r="CL71" s="611" t="str">
        <f>IF(CK71="","",COUNTIFS($CK$16:CK71,"Yes")+MAX(State!AD:AD))</f>
        <v/>
      </c>
      <c r="CM71" s="612" t="b">
        <f>IF(C71="", "", AND(INDEX('Summary Dynamic'!$D$8:$D$10, MATCH(H71, 'Summary Dynamic'!$C$8:$C$10, 0))="Include", INDEX('Summary Dynamic'!$D$12:$D$14, MATCH(I71, 'Summary Dynamic'!$C$12:$C$14, 0))="Include", INDEX('Summary Dynamic'!$D$16:$D$17, MATCH(J71, 'Summary Dynamic'!$C$16:$C$17, 0))="Include", INDEX('Summary Dynamic'!$D$19:$D$20, MATCH(K71, 'Summary Dynamic'!$C$19:$C$20, 0))="Include", INDEX('Summary Dynamic'!$D$25:$D$26, MATCH(L71, 'Summary Dynamic'!$C$25:$C$26, 0))="Include",'Summary Dynamic'!$D$23="Include"))</f>
        <v>1</v>
      </c>
      <c r="CN71" s="613">
        <f>IFERROR(IF(CM71=TRUE, COUNTIFS($CM$16:CM71, TRUE), ""), "")</f>
        <v>56</v>
      </c>
      <c r="CP71" s="614" t="str">
        <f t="shared" si="126"/>
        <v>Non-Rural Private</v>
      </c>
      <c r="CY71" s="615"/>
      <c r="CZ71" s="616"/>
    </row>
    <row r="72" spans="2:104" x14ac:dyDescent="0.25">
      <c r="B72" s="617">
        <f t="shared" si="67"/>
        <v>57</v>
      </c>
      <c r="C72" s="593" t="s">
        <v>651</v>
      </c>
      <c r="D72" s="594" t="s">
        <v>651</v>
      </c>
      <c r="E72" s="594" t="s">
        <v>652</v>
      </c>
      <c r="F72" s="407" t="s">
        <v>653</v>
      </c>
      <c r="G72" s="408" t="s">
        <v>318</v>
      </c>
      <c r="H72" s="408" t="s">
        <v>11</v>
      </c>
      <c r="I72" s="408" t="s">
        <v>28</v>
      </c>
      <c r="J72" s="408" t="s">
        <v>35</v>
      </c>
      <c r="K72" s="408" t="s">
        <v>35</v>
      </c>
      <c r="L72" s="408" t="s">
        <v>35</v>
      </c>
      <c r="M72" s="408" t="s">
        <v>37</v>
      </c>
      <c r="N72" s="595" t="str">
        <f t="shared" si="84"/>
        <v>No</v>
      </c>
      <c r="O72" s="596">
        <v>109710</v>
      </c>
      <c r="P72" s="596">
        <v>297578</v>
      </c>
      <c r="Q72" s="597">
        <v>0.67415574905731923</v>
      </c>
      <c r="R72" s="596">
        <f t="shared" si="68"/>
        <v>200613.91949297895</v>
      </c>
      <c r="S72" s="596">
        <f t="shared" si="69"/>
        <v>310323.91949297895</v>
      </c>
      <c r="T72" s="596">
        <f t="shared" si="85"/>
        <v>310323.91949297895</v>
      </c>
      <c r="U72" s="598">
        <f t="shared" si="70"/>
        <v>7.2601000378122282E-2</v>
      </c>
      <c r="V72" s="599">
        <f t="shared" si="80"/>
        <v>0</v>
      </c>
      <c r="W72" s="600">
        <v>598457679.34984004</v>
      </c>
      <c r="X72" s="600">
        <v>0</v>
      </c>
      <c r="Y72" s="600">
        <v>328459254.96829271</v>
      </c>
      <c r="Z72" s="600">
        <f t="shared" si="71"/>
        <v>0</v>
      </c>
      <c r="AA72" s="600">
        <f t="shared" si="72"/>
        <v>598457679.34984004</v>
      </c>
      <c r="AB72" s="601">
        <f t="shared" si="86"/>
        <v>0.35312087856686447</v>
      </c>
      <c r="AC72" s="599">
        <v>0</v>
      </c>
      <c r="AD72" s="599">
        <f>MAX(IF(M72="Yes",'Assumption Inputs'!$C$40,'Assumption Inputs'!$C$41),AC72)</f>
        <v>8000000</v>
      </c>
      <c r="AE72" s="599">
        <f t="shared" si="81"/>
        <v>8000000</v>
      </c>
      <c r="AF72" s="599">
        <f t="shared" si="87"/>
        <v>4332357.0217357781</v>
      </c>
      <c r="AG72" s="599">
        <f t="shared" si="82"/>
        <v>112558327.84565565</v>
      </c>
      <c r="AH72" s="599">
        <f t="shared" si="83"/>
        <v>12332357.021735778</v>
      </c>
      <c r="AI72" s="599">
        <v>1219232126.8211784</v>
      </c>
      <c r="AJ72" s="599">
        <v>633106804.4930743</v>
      </c>
      <c r="AK72" s="602">
        <f t="shared" si="74"/>
        <v>0.51926683243143446</v>
      </c>
      <c r="AL72" s="603">
        <f t="shared" si="25"/>
        <v>115460792.96147215</v>
      </c>
      <c r="AM72" s="600">
        <f t="shared" si="75"/>
        <v>123460792.96147215</v>
      </c>
      <c r="AN72" s="600">
        <f t="shared" si="88"/>
        <v>123460792.96147215</v>
      </c>
      <c r="AO72" s="600">
        <f t="shared" si="27"/>
        <v>0</v>
      </c>
      <c r="AP72" s="600">
        <f t="shared" si="28"/>
        <v>474996886.38836789</v>
      </c>
      <c r="AQ72" s="600">
        <f t="shared" si="76"/>
        <v>0</v>
      </c>
      <c r="AR72" s="600">
        <f t="shared" si="77"/>
        <v>123460792.96147215</v>
      </c>
      <c r="AS72" s="604">
        <f t="shared" si="89"/>
        <v>66859529.161962628</v>
      </c>
      <c r="AT72" s="605">
        <f t="shared" si="90"/>
        <v>127853612.50207449</v>
      </c>
      <c r="AU72" s="600">
        <f t="shared" si="91"/>
        <v>318173934.62550926</v>
      </c>
      <c r="AV72" s="600">
        <f t="shared" si="92"/>
        <v>318173934.62550926</v>
      </c>
      <c r="AW72" s="600">
        <f t="shared" si="93"/>
        <v>0</v>
      </c>
      <c r="AX72" s="600">
        <f t="shared" si="94"/>
        <v>280283744.72433078</v>
      </c>
      <c r="AY72" s="600">
        <f t="shared" si="95"/>
        <v>5.5147205567519477E-10</v>
      </c>
      <c r="AZ72" s="600">
        <f t="shared" si="96"/>
        <v>318173934.62550926</v>
      </c>
      <c r="BA72" s="600">
        <f t="shared" si="97"/>
        <v>0</v>
      </c>
      <c r="BB72" s="600">
        <f t="shared" si="98"/>
        <v>1.9373213315869589E-10</v>
      </c>
      <c r="BC72" s="600">
        <f t="shared" si="99"/>
        <v>3.9243441482495398E-10</v>
      </c>
      <c r="BD72" s="600">
        <f t="shared" si="100"/>
        <v>194713141.66403711</v>
      </c>
      <c r="BE72" s="600">
        <f t="shared" si="101"/>
        <v>280283744.72433078</v>
      </c>
      <c r="BF72" s="600">
        <f t="shared" si="102"/>
        <v>123460792.96147215</v>
      </c>
      <c r="BG72" s="600">
        <v>0</v>
      </c>
      <c r="BH72" s="600">
        <v>0</v>
      </c>
      <c r="BI72" s="600">
        <f t="shared" si="103"/>
        <v>0</v>
      </c>
      <c r="BJ72" s="600">
        <f t="shared" si="104"/>
        <v>318173934.63</v>
      </c>
      <c r="BK72" s="600">
        <f t="shared" si="105"/>
        <v>111774503.23551898</v>
      </c>
      <c r="BL72" s="600">
        <v>318173934.63</v>
      </c>
      <c r="BM72" s="600">
        <f t="shared" si="106"/>
        <v>0</v>
      </c>
      <c r="BN72" s="600">
        <f t="shared" si="107"/>
        <v>0</v>
      </c>
      <c r="BO72" s="600">
        <f t="shared" si="108"/>
        <v>194713141.66</v>
      </c>
      <c r="BP72" s="600">
        <f t="shared" si="109"/>
        <v>111774503.23551898</v>
      </c>
      <c r="BQ72" s="600">
        <f t="shared" si="110"/>
        <v>82938638.429216236</v>
      </c>
      <c r="BR72" s="600">
        <f t="shared" si="111"/>
        <v>194713141.66</v>
      </c>
      <c r="BT72" s="606">
        <f t="shared" si="112"/>
        <v>1</v>
      </c>
      <c r="BU72" s="607">
        <f t="shared" si="113"/>
        <v>0</v>
      </c>
      <c r="BV72" s="606">
        <f t="shared" si="114"/>
        <v>1</v>
      </c>
      <c r="BW72" s="607">
        <f t="shared" si="115"/>
        <v>0</v>
      </c>
      <c r="BX72" s="607">
        <f t="shared" si="116"/>
        <v>0</v>
      </c>
      <c r="BY72" s="607">
        <f t="shared" si="117"/>
        <v>0</v>
      </c>
      <c r="BZ72" s="607">
        <f t="shared" si="118"/>
        <v>0</v>
      </c>
      <c r="CA72" s="607">
        <f t="shared" si="119"/>
        <v>0</v>
      </c>
      <c r="CB72" s="607">
        <f t="shared" si="78"/>
        <v>0</v>
      </c>
      <c r="CC72" s="607">
        <f t="shared" si="120"/>
        <v>0</v>
      </c>
      <c r="CD72" s="607">
        <f t="shared" si="121"/>
        <v>0</v>
      </c>
      <c r="CE72" s="607">
        <f t="shared" si="122"/>
        <v>0</v>
      </c>
      <c r="CF72" s="607">
        <f t="shared" si="123"/>
        <v>0</v>
      </c>
      <c r="CG72" s="607">
        <f t="shared" si="124"/>
        <v>3109005.7579371342</v>
      </c>
      <c r="CH72" s="607">
        <f t="shared" si="125"/>
        <v>321282940.38793713</v>
      </c>
      <c r="CI72" s="609"/>
      <c r="CK72" s="610" t="str">
        <f t="shared" si="79"/>
        <v/>
      </c>
      <c r="CL72" s="611" t="str">
        <f>IF(CK72="","",COUNTIFS($CK$16:CK72,"Yes")+MAX(State!AD:AD))</f>
        <v/>
      </c>
      <c r="CM72" s="612" t="b">
        <f>IF(C72="", "", AND(INDEX('Summary Dynamic'!$D$8:$D$10, MATCH(H72, 'Summary Dynamic'!$C$8:$C$10, 0))="Include", INDEX('Summary Dynamic'!$D$12:$D$14, MATCH(I72, 'Summary Dynamic'!$C$12:$C$14, 0))="Include", INDEX('Summary Dynamic'!$D$16:$D$17, MATCH(J72, 'Summary Dynamic'!$C$16:$C$17, 0))="Include", INDEX('Summary Dynamic'!$D$19:$D$20, MATCH(K72, 'Summary Dynamic'!$C$19:$C$20, 0))="Include", INDEX('Summary Dynamic'!$D$25:$D$26, MATCH(L72, 'Summary Dynamic'!$C$25:$C$26, 0))="Include",'Summary Dynamic'!$D$23="Include"))</f>
        <v>1</v>
      </c>
      <c r="CN72" s="613">
        <f>IFERROR(IF(CM72=TRUE, COUNTIFS($CM$16:CM72, TRUE), ""), "")</f>
        <v>57</v>
      </c>
      <c r="CP72" s="614" t="str">
        <f t="shared" si="126"/>
        <v>Urban Public Class 1</v>
      </c>
      <c r="CY72" s="615"/>
      <c r="CZ72" s="616"/>
    </row>
    <row r="73" spans="2:104" x14ac:dyDescent="0.25">
      <c r="B73" s="617">
        <f t="shared" si="67"/>
        <v>58</v>
      </c>
      <c r="C73" s="593" t="s">
        <v>654</v>
      </c>
      <c r="D73" s="594" t="s">
        <v>654</v>
      </c>
      <c r="E73" s="594" t="s">
        <v>655</v>
      </c>
      <c r="F73" s="407" t="s">
        <v>656</v>
      </c>
      <c r="G73" s="408" t="s">
        <v>657</v>
      </c>
      <c r="H73" s="408" t="s">
        <v>22</v>
      </c>
      <c r="I73" s="408" t="s">
        <v>28</v>
      </c>
      <c r="J73" s="408" t="s">
        <v>31</v>
      </c>
      <c r="K73" s="408" t="s">
        <v>35</v>
      </c>
      <c r="L73" s="408" t="s">
        <v>35</v>
      </c>
      <c r="M73" s="408" t="s">
        <v>35</v>
      </c>
      <c r="N73" s="595" t="str">
        <f t="shared" si="84"/>
        <v>Yes</v>
      </c>
      <c r="O73" s="596">
        <v>461</v>
      </c>
      <c r="P73" s="596">
        <v>2615</v>
      </c>
      <c r="Q73" s="597">
        <v>0.11583022989283509</v>
      </c>
      <c r="R73" s="596">
        <f t="shared" si="68"/>
        <v>302.89605116976378</v>
      </c>
      <c r="S73" s="596">
        <f t="shared" si="69"/>
        <v>763.89605116976372</v>
      </c>
      <c r="T73" s="596">
        <f t="shared" si="85"/>
        <v>1032.2527339457017</v>
      </c>
      <c r="U73" s="598">
        <f t="shared" si="70"/>
        <v>2.4149792014084567E-4</v>
      </c>
      <c r="V73" s="599">
        <f t="shared" si="80"/>
        <v>0</v>
      </c>
      <c r="W73" s="600">
        <v>4799271.3690818008</v>
      </c>
      <c r="X73" s="600">
        <v>0</v>
      </c>
      <c r="Y73" s="600">
        <v>1107240.2848747803</v>
      </c>
      <c r="Z73" s="600">
        <f t="shared" si="71"/>
        <v>0</v>
      </c>
      <c r="AA73" s="600">
        <f t="shared" si="72"/>
        <v>4799271.3690818008</v>
      </c>
      <c r="AB73" s="601">
        <f t="shared" si="86"/>
        <v>0</v>
      </c>
      <c r="AC73" s="599">
        <v>983729.84296388214</v>
      </c>
      <c r="AD73" s="599">
        <f>MAX(IF(M73="Yes",'Assumption Inputs'!$C$40,'Assumption Inputs'!$C$41),AC73)</f>
        <v>6000000</v>
      </c>
      <c r="AE73" s="599">
        <f t="shared" si="81"/>
        <v>3113287.3371233647</v>
      </c>
      <c r="AF73" s="599">
        <f t="shared" si="87"/>
        <v>1685984.0319584364</v>
      </c>
      <c r="AG73" s="599">
        <f t="shared" si="82"/>
        <v>0</v>
      </c>
      <c r="AH73" s="599">
        <f t="shared" si="83"/>
        <v>4799271.3690818008</v>
      </c>
      <c r="AI73" s="599">
        <v>7850241.1634642966</v>
      </c>
      <c r="AJ73" s="599">
        <v>7850241.1634642966</v>
      </c>
      <c r="AK73" s="602">
        <f t="shared" si="74"/>
        <v>1</v>
      </c>
      <c r="AL73" s="603">
        <f t="shared" si="25"/>
        <v>0</v>
      </c>
      <c r="AM73" s="600">
        <f t="shared" si="75"/>
        <v>3113287.3371233647</v>
      </c>
      <c r="AN73" s="600">
        <f t="shared" si="88"/>
        <v>3113287.3371233647</v>
      </c>
      <c r="AO73" s="600">
        <f t="shared" si="27"/>
        <v>0</v>
      </c>
      <c r="AP73" s="600">
        <f t="shared" si="28"/>
        <v>1685984.0319584361</v>
      </c>
      <c r="AQ73" s="600">
        <f t="shared" si="76"/>
        <v>0</v>
      </c>
      <c r="AR73" s="600">
        <f t="shared" si="77"/>
        <v>3113287.3371233647</v>
      </c>
      <c r="AS73" s="604">
        <f t="shared" si="89"/>
        <v>1685984.0319584364</v>
      </c>
      <c r="AT73" s="605">
        <f t="shared" si="90"/>
        <v>0</v>
      </c>
      <c r="AU73" s="600">
        <f t="shared" si="91"/>
        <v>4799271.3690818008</v>
      </c>
      <c r="AV73" s="600">
        <f t="shared" si="92"/>
        <v>4799271.3690818008</v>
      </c>
      <c r="AW73" s="600">
        <f t="shared" si="93"/>
        <v>0</v>
      </c>
      <c r="AX73" s="600">
        <f t="shared" si="94"/>
        <v>0</v>
      </c>
      <c r="AY73" s="600">
        <f t="shared" si="95"/>
        <v>0</v>
      </c>
      <c r="AZ73" s="600">
        <f t="shared" si="96"/>
        <v>4799271.3690818008</v>
      </c>
      <c r="BA73" s="600">
        <f t="shared" si="97"/>
        <v>0</v>
      </c>
      <c r="BB73" s="600">
        <f t="shared" si="98"/>
        <v>0</v>
      </c>
      <c r="BC73" s="600">
        <f t="shared" si="99"/>
        <v>0</v>
      </c>
      <c r="BD73" s="600">
        <f t="shared" si="100"/>
        <v>1685984.0319584364</v>
      </c>
      <c r="BE73" s="600">
        <f t="shared" si="101"/>
        <v>0</v>
      </c>
      <c r="BF73" s="600">
        <f t="shared" si="102"/>
        <v>3113287.3371233642</v>
      </c>
      <c r="BG73" s="600">
        <v>0</v>
      </c>
      <c r="BH73" s="600">
        <v>0</v>
      </c>
      <c r="BI73" s="600">
        <f t="shared" si="103"/>
        <v>0</v>
      </c>
      <c r="BJ73" s="600">
        <f t="shared" si="104"/>
        <v>4799271.37</v>
      </c>
      <c r="BK73" s="600">
        <f t="shared" si="105"/>
        <v>1685984.0322809997</v>
      </c>
      <c r="BL73" s="600">
        <v>4799271.37</v>
      </c>
      <c r="BM73" s="600">
        <f t="shared" si="106"/>
        <v>0</v>
      </c>
      <c r="BN73" s="600">
        <f t="shared" si="107"/>
        <v>0</v>
      </c>
      <c r="BO73" s="600">
        <f t="shared" si="108"/>
        <v>1685984.03</v>
      </c>
      <c r="BP73" s="600">
        <f t="shared" si="109"/>
        <v>1685984.0322809997</v>
      </c>
      <c r="BQ73" s="600">
        <f t="shared" si="110"/>
        <v>0</v>
      </c>
      <c r="BR73" s="600">
        <f t="shared" si="111"/>
        <v>1685984.03</v>
      </c>
      <c r="BT73" s="606">
        <f t="shared" si="112"/>
        <v>1.6113533673763076</v>
      </c>
      <c r="BU73" s="607">
        <f t="shared" si="113"/>
        <v>0</v>
      </c>
      <c r="BV73" s="606">
        <f t="shared" si="114"/>
        <v>1</v>
      </c>
      <c r="BW73" s="607">
        <f t="shared" si="115"/>
        <v>0</v>
      </c>
      <c r="BX73" s="607">
        <f t="shared" si="116"/>
        <v>0</v>
      </c>
      <c r="BY73" s="607">
        <f t="shared" si="117"/>
        <v>0</v>
      </c>
      <c r="BZ73" s="607">
        <f t="shared" si="118"/>
        <v>0</v>
      </c>
      <c r="CA73" s="607">
        <f t="shared" si="119"/>
        <v>0</v>
      </c>
      <c r="CB73" s="607">
        <f t="shared" si="78"/>
        <v>0</v>
      </c>
      <c r="CC73" s="607">
        <f t="shared" si="120"/>
        <v>0</v>
      </c>
      <c r="CD73" s="607">
        <f t="shared" si="121"/>
        <v>0</v>
      </c>
      <c r="CE73" s="607">
        <f t="shared" si="122"/>
        <v>0</v>
      </c>
      <c r="CF73" s="607">
        <f t="shared" si="123"/>
        <v>0</v>
      </c>
      <c r="CG73" s="607">
        <f t="shared" si="124"/>
        <v>0</v>
      </c>
      <c r="CH73" s="607">
        <f t="shared" si="125"/>
        <v>4799271.37</v>
      </c>
      <c r="CI73" s="609"/>
      <c r="CK73" s="610" t="str">
        <f t="shared" si="79"/>
        <v/>
      </c>
      <c r="CL73" s="611" t="str">
        <f>IF(CK73="","",COUNTIFS($CK$16:CK73,"Yes")+MAX(State!AD:AD))</f>
        <v/>
      </c>
      <c r="CM73" s="612" t="b">
        <f>IF(C73="", "", AND(INDEX('Summary Dynamic'!$D$8:$D$10, MATCH(H73, 'Summary Dynamic'!$C$8:$C$10, 0))="Include", INDEX('Summary Dynamic'!$D$12:$D$14, MATCH(I73, 'Summary Dynamic'!$C$12:$C$14, 0))="Include", INDEX('Summary Dynamic'!$D$16:$D$17, MATCH(J73, 'Summary Dynamic'!$C$16:$C$17, 0))="Include", INDEX('Summary Dynamic'!$D$19:$D$20, MATCH(K73, 'Summary Dynamic'!$C$19:$C$20, 0))="Include", INDEX('Summary Dynamic'!$D$25:$D$26, MATCH(L73, 'Summary Dynamic'!$C$25:$C$26, 0))="Include",'Summary Dynamic'!$D$23="Include"))</f>
        <v>1</v>
      </c>
      <c r="CN73" s="613">
        <f>IFERROR(IF(CM73=TRUE, COUNTIFS($CM$16:CM73, TRUE), ""), "")</f>
        <v>58</v>
      </c>
      <c r="CP73" s="614" t="str">
        <f t="shared" si="126"/>
        <v>Rural Public</v>
      </c>
      <c r="CY73" s="615"/>
      <c r="CZ73" s="616"/>
    </row>
    <row r="74" spans="2:104" x14ac:dyDescent="0.25">
      <c r="B74" s="617">
        <f t="shared" si="67"/>
        <v>59</v>
      </c>
      <c r="C74" s="593" t="s">
        <v>658</v>
      </c>
      <c r="D74" s="594" t="s">
        <v>658</v>
      </c>
      <c r="E74" s="594" t="s">
        <v>659</v>
      </c>
      <c r="F74" s="407" t="s">
        <v>660</v>
      </c>
      <c r="G74" s="408" t="s">
        <v>661</v>
      </c>
      <c r="H74" s="408" t="s">
        <v>22</v>
      </c>
      <c r="I74" s="408" t="s">
        <v>28</v>
      </c>
      <c r="J74" s="408" t="s">
        <v>35</v>
      </c>
      <c r="K74" s="408" t="s">
        <v>35</v>
      </c>
      <c r="L74" s="408" t="s">
        <v>35</v>
      </c>
      <c r="M74" s="408" t="s">
        <v>35</v>
      </c>
      <c r="N74" s="595" t="str">
        <f t="shared" si="84"/>
        <v>No</v>
      </c>
      <c r="O74" s="596">
        <v>5662</v>
      </c>
      <c r="P74" s="596">
        <v>31099</v>
      </c>
      <c r="Q74" s="597">
        <v>0.15222330929801808</v>
      </c>
      <c r="R74" s="596">
        <f t="shared" si="68"/>
        <v>4733.992695859064</v>
      </c>
      <c r="S74" s="596">
        <f t="shared" si="69"/>
        <v>10395.992695859064</v>
      </c>
      <c r="T74" s="596">
        <f t="shared" si="85"/>
        <v>14048.104929914352</v>
      </c>
      <c r="U74" s="598">
        <f t="shared" si="70"/>
        <v>3.2865867155679848E-3</v>
      </c>
      <c r="V74" s="599">
        <f t="shared" si="80"/>
        <v>0</v>
      </c>
      <c r="W74" s="600">
        <v>10673156.021378411</v>
      </c>
      <c r="X74" s="600">
        <v>0</v>
      </c>
      <c r="Y74" s="600">
        <v>9139451.2837826107</v>
      </c>
      <c r="Z74" s="600">
        <f t="shared" si="71"/>
        <v>0</v>
      </c>
      <c r="AA74" s="600">
        <f t="shared" si="72"/>
        <v>10673156.021378411</v>
      </c>
      <c r="AB74" s="601">
        <f t="shared" si="86"/>
        <v>0</v>
      </c>
      <c r="AC74" s="599">
        <v>0</v>
      </c>
      <c r="AD74" s="599">
        <f>MAX(IF(M74="Yes",'Assumption Inputs'!$C$40,'Assumption Inputs'!$C$41),AC74)</f>
        <v>6000000</v>
      </c>
      <c r="AE74" s="599">
        <f t="shared" si="81"/>
        <v>6000000</v>
      </c>
      <c r="AF74" s="599">
        <f t="shared" si="87"/>
        <v>3249267.7663018336</v>
      </c>
      <c r="AG74" s="599">
        <f t="shared" si="82"/>
        <v>0</v>
      </c>
      <c r="AH74" s="599">
        <f t="shared" si="83"/>
        <v>9249267.7663018331</v>
      </c>
      <c r="AI74" s="599">
        <v>33254070.054366276</v>
      </c>
      <c r="AJ74" s="599">
        <v>31830181.799289696</v>
      </c>
      <c r="AK74" s="602">
        <f t="shared" si="74"/>
        <v>0.95718153438816067</v>
      </c>
      <c r="AL74" s="603">
        <f t="shared" si="25"/>
        <v>0</v>
      </c>
      <c r="AM74" s="600">
        <f t="shared" si="75"/>
        <v>6000000</v>
      </c>
      <c r="AN74" s="600">
        <f t="shared" si="88"/>
        <v>6000000</v>
      </c>
      <c r="AO74" s="600">
        <f t="shared" si="27"/>
        <v>0</v>
      </c>
      <c r="AP74" s="600">
        <f t="shared" si="28"/>
        <v>4673156.021378411</v>
      </c>
      <c r="AQ74" s="600">
        <f t="shared" si="76"/>
        <v>0</v>
      </c>
      <c r="AR74" s="600">
        <f t="shared" si="77"/>
        <v>6000000</v>
      </c>
      <c r="AS74" s="604">
        <f t="shared" si="89"/>
        <v>3249267.7663018336</v>
      </c>
      <c r="AT74" s="605">
        <f t="shared" si="90"/>
        <v>0</v>
      </c>
      <c r="AU74" s="600">
        <f t="shared" si="91"/>
        <v>9249267.7663018331</v>
      </c>
      <c r="AV74" s="600">
        <f t="shared" si="92"/>
        <v>9249267.7663018331</v>
      </c>
      <c r="AW74" s="600">
        <f t="shared" si="93"/>
        <v>0</v>
      </c>
      <c r="AX74" s="600">
        <f t="shared" si="94"/>
        <v>1423888.2550765779</v>
      </c>
      <c r="AY74" s="600">
        <f t="shared" si="95"/>
        <v>2.8015701868517318E-12</v>
      </c>
      <c r="AZ74" s="600">
        <f t="shared" si="96"/>
        <v>9249267.7663018331</v>
      </c>
      <c r="BA74" s="600">
        <f t="shared" si="97"/>
        <v>0</v>
      </c>
      <c r="BB74" s="600">
        <f t="shared" si="98"/>
        <v>9.8419160664101327E-13</v>
      </c>
      <c r="BC74" s="600">
        <f t="shared" si="99"/>
        <v>0</v>
      </c>
      <c r="BD74" s="600">
        <f t="shared" si="100"/>
        <v>3249267.7663018336</v>
      </c>
      <c r="BE74" s="600">
        <f t="shared" si="101"/>
        <v>1423888.2550765779</v>
      </c>
      <c r="BF74" s="600">
        <f t="shared" si="102"/>
        <v>6000000</v>
      </c>
      <c r="BG74" s="600">
        <v>0</v>
      </c>
      <c r="BH74" s="600">
        <v>0</v>
      </c>
      <c r="BI74" s="600">
        <f t="shared" si="103"/>
        <v>0</v>
      </c>
      <c r="BJ74" s="600">
        <f t="shared" si="104"/>
        <v>9249267.7699999996</v>
      </c>
      <c r="BK74" s="600">
        <f t="shared" si="105"/>
        <v>3249267.7676009992</v>
      </c>
      <c r="BL74" s="600">
        <v>9249267.7699999996</v>
      </c>
      <c r="BM74" s="600">
        <f t="shared" si="106"/>
        <v>0</v>
      </c>
      <c r="BN74" s="600">
        <f t="shared" si="107"/>
        <v>0</v>
      </c>
      <c r="BO74" s="600">
        <f t="shared" si="108"/>
        <v>3249267.77</v>
      </c>
      <c r="BP74" s="600">
        <f t="shared" si="109"/>
        <v>3249267.7676009992</v>
      </c>
      <c r="BQ74" s="600">
        <f t="shared" si="110"/>
        <v>0</v>
      </c>
      <c r="BR74" s="600">
        <f t="shared" si="111"/>
        <v>3249267.77</v>
      </c>
      <c r="BT74" s="606">
        <f t="shared" si="112"/>
        <v>1</v>
      </c>
      <c r="BU74" s="607">
        <f t="shared" si="113"/>
        <v>0</v>
      </c>
      <c r="BV74" s="606">
        <f t="shared" si="114"/>
        <v>1</v>
      </c>
      <c r="BW74" s="607">
        <f t="shared" si="115"/>
        <v>0</v>
      </c>
      <c r="BX74" s="607">
        <f t="shared" si="116"/>
        <v>0</v>
      </c>
      <c r="BY74" s="607">
        <f t="shared" si="117"/>
        <v>0</v>
      </c>
      <c r="BZ74" s="607">
        <f t="shared" si="118"/>
        <v>0</v>
      </c>
      <c r="CA74" s="607">
        <f t="shared" si="119"/>
        <v>0</v>
      </c>
      <c r="CB74" s="607">
        <f t="shared" si="78"/>
        <v>0</v>
      </c>
      <c r="CC74" s="607">
        <f t="shared" si="120"/>
        <v>0</v>
      </c>
      <c r="CD74" s="607">
        <f t="shared" si="121"/>
        <v>0</v>
      </c>
      <c r="CE74" s="607">
        <f t="shared" si="122"/>
        <v>0</v>
      </c>
      <c r="CF74" s="607">
        <f t="shared" si="123"/>
        <v>0</v>
      </c>
      <c r="CG74" s="607">
        <f t="shared" si="124"/>
        <v>0</v>
      </c>
      <c r="CH74" s="607">
        <f t="shared" si="125"/>
        <v>9249267.7699999996</v>
      </c>
      <c r="CI74" s="609"/>
      <c r="CK74" s="610" t="str">
        <f t="shared" si="79"/>
        <v/>
      </c>
      <c r="CL74" s="611" t="str">
        <f>IF(CK74="","",COUNTIFS($CK$16:CK74,"Yes")+MAX(State!AD:AD))</f>
        <v/>
      </c>
      <c r="CM74" s="612" t="b">
        <f>IF(C74="", "", AND(INDEX('Summary Dynamic'!$D$8:$D$10, MATCH(H74, 'Summary Dynamic'!$C$8:$C$10, 0))="Include", INDEX('Summary Dynamic'!$D$12:$D$14, MATCH(I74, 'Summary Dynamic'!$C$12:$C$14, 0))="Include", INDEX('Summary Dynamic'!$D$16:$D$17, MATCH(J74, 'Summary Dynamic'!$C$16:$C$17, 0))="Include", INDEX('Summary Dynamic'!$D$19:$D$20, MATCH(K74, 'Summary Dynamic'!$C$19:$C$20, 0))="Include", INDEX('Summary Dynamic'!$D$25:$D$26, MATCH(L74, 'Summary Dynamic'!$C$25:$C$26, 0))="Include",'Summary Dynamic'!$D$23="Include"))</f>
        <v>1</v>
      </c>
      <c r="CN74" s="613">
        <f>IFERROR(IF(CM74=TRUE, COUNTIFS($CM$16:CM74, TRUE), ""), "")</f>
        <v>59</v>
      </c>
      <c r="CP74" s="614" t="str">
        <f t="shared" si="126"/>
        <v>Non-Rural Public</v>
      </c>
      <c r="CY74" s="615"/>
      <c r="CZ74" s="616"/>
    </row>
    <row r="75" spans="2:104" x14ac:dyDescent="0.25">
      <c r="B75" s="617">
        <f t="shared" si="67"/>
        <v>60</v>
      </c>
      <c r="C75" s="593" t="s">
        <v>662</v>
      </c>
      <c r="D75" s="594" t="s">
        <v>662</v>
      </c>
      <c r="E75" s="594" t="s">
        <v>663</v>
      </c>
      <c r="F75" s="407" t="s">
        <v>664</v>
      </c>
      <c r="G75" s="408" t="s">
        <v>665</v>
      </c>
      <c r="H75" s="408" t="s">
        <v>22</v>
      </c>
      <c r="I75" s="408" t="s">
        <v>28</v>
      </c>
      <c r="J75" s="408" t="s">
        <v>31</v>
      </c>
      <c r="K75" s="408" t="s">
        <v>35</v>
      </c>
      <c r="L75" s="408" t="s">
        <v>35</v>
      </c>
      <c r="M75" s="408" t="s">
        <v>35</v>
      </c>
      <c r="N75" s="595" t="str">
        <f t="shared" si="84"/>
        <v>Yes</v>
      </c>
      <c r="O75" s="596">
        <v>368</v>
      </c>
      <c r="P75" s="596">
        <v>1417</v>
      </c>
      <c r="Q75" s="597">
        <v>0.11476398835130783</v>
      </c>
      <c r="R75" s="596">
        <f t="shared" si="68"/>
        <v>162.6205714938032</v>
      </c>
      <c r="S75" s="596">
        <f t="shared" si="69"/>
        <v>530.62057149380325</v>
      </c>
      <c r="T75" s="596">
        <f t="shared" si="85"/>
        <v>717.02757825957633</v>
      </c>
      <c r="U75" s="598">
        <f t="shared" si="70"/>
        <v>1.6775026419297786E-4</v>
      </c>
      <c r="V75" s="599">
        <f t="shared" si="80"/>
        <v>0</v>
      </c>
      <c r="W75" s="600">
        <v>1841077.3620194723</v>
      </c>
      <c r="X75" s="600">
        <v>0</v>
      </c>
      <c r="Y75" s="600">
        <v>220132.79958606791</v>
      </c>
      <c r="Z75" s="600">
        <f t="shared" si="71"/>
        <v>0</v>
      </c>
      <c r="AA75" s="600">
        <f t="shared" si="72"/>
        <v>1841077.3620194723</v>
      </c>
      <c r="AB75" s="601">
        <f t="shared" si="86"/>
        <v>0</v>
      </c>
      <c r="AC75" s="599">
        <v>664586.54081882362</v>
      </c>
      <c r="AD75" s="599">
        <f>MAX(IF(M75="Yes",'Assumption Inputs'!$C$40,'Assumption Inputs'!$C$41),AC75)</f>
        <v>6000000</v>
      </c>
      <c r="AE75" s="599">
        <f t="shared" si="81"/>
        <v>1194306.8847420318</v>
      </c>
      <c r="AF75" s="599">
        <f t="shared" si="87"/>
        <v>646770.47727744048</v>
      </c>
      <c r="AG75" s="599">
        <f t="shared" si="82"/>
        <v>0</v>
      </c>
      <c r="AH75" s="599">
        <f t="shared" si="83"/>
        <v>1841077.3620194723</v>
      </c>
      <c r="AI75" s="599">
        <v>4176086.3218674166</v>
      </c>
      <c r="AJ75" s="599">
        <v>4176086.3218674166</v>
      </c>
      <c r="AK75" s="602">
        <f t="shared" si="74"/>
        <v>1</v>
      </c>
      <c r="AL75" s="603">
        <f t="shared" si="25"/>
        <v>0</v>
      </c>
      <c r="AM75" s="600">
        <f t="shared" si="75"/>
        <v>1194306.8847420318</v>
      </c>
      <c r="AN75" s="600">
        <f t="shared" si="88"/>
        <v>1194306.8847420318</v>
      </c>
      <c r="AO75" s="600">
        <f t="shared" si="27"/>
        <v>0</v>
      </c>
      <c r="AP75" s="600">
        <f t="shared" si="28"/>
        <v>646770.47727744048</v>
      </c>
      <c r="AQ75" s="600">
        <f t="shared" si="76"/>
        <v>0</v>
      </c>
      <c r="AR75" s="600">
        <f t="shared" si="77"/>
        <v>1194306.8847420318</v>
      </c>
      <c r="AS75" s="604">
        <f t="shared" si="89"/>
        <v>646770.47727744048</v>
      </c>
      <c r="AT75" s="605">
        <f t="shared" si="90"/>
        <v>0</v>
      </c>
      <c r="AU75" s="600">
        <f t="shared" si="91"/>
        <v>1841077.3620194723</v>
      </c>
      <c r="AV75" s="600">
        <f t="shared" si="92"/>
        <v>1841077.3620194723</v>
      </c>
      <c r="AW75" s="600">
        <f t="shared" si="93"/>
        <v>0</v>
      </c>
      <c r="AX75" s="600">
        <f t="shared" si="94"/>
        <v>0</v>
      </c>
      <c r="AY75" s="600">
        <f t="shared" si="95"/>
        <v>0</v>
      </c>
      <c r="AZ75" s="600">
        <f t="shared" si="96"/>
        <v>1841077.3620194723</v>
      </c>
      <c r="BA75" s="600">
        <f t="shared" si="97"/>
        <v>0</v>
      </c>
      <c r="BB75" s="600">
        <f t="shared" si="98"/>
        <v>0</v>
      </c>
      <c r="BC75" s="600">
        <f t="shared" si="99"/>
        <v>0</v>
      </c>
      <c r="BD75" s="600">
        <f t="shared" si="100"/>
        <v>646770.47727744048</v>
      </c>
      <c r="BE75" s="600">
        <f t="shared" si="101"/>
        <v>0</v>
      </c>
      <c r="BF75" s="600">
        <f t="shared" si="102"/>
        <v>1194306.8847420318</v>
      </c>
      <c r="BG75" s="600">
        <v>0</v>
      </c>
      <c r="BH75" s="600">
        <v>0</v>
      </c>
      <c r="BI75" s="600">
        <f t="shared" si="103"/>
        <v>0</v>
      </c>
      <c r="BJ75" s="600">
        <f t="shared" si="104"/>
        <v>1841077.36</v>
      </c>
      <c r="BK75" s="600">
        <f t="shared" si="105"/>
        <v>646770.47656799993</v>
      </c>
      <c r="BL75" s="600">
        <v>1841077.36</v>
      </c>
      <c r="BM75" s="600">
        <f t="shared" si="106"/>
        <v>0</v>
      </c>
      <c r="BN75" s="600">
        <f t="shared" si="107"/>
        <v>0</v>
      </c>
      <c r="BO75" s="600">
        <f t="shared" si="108"/>
        <v>646770.48</v>
      </c>
      <c r="BP75" s="600">
        <f t="shared" si="109"/>
        <v>646770.47656799993</v>
      </c>
      <c r="BQ75" s="600">
        <f t="shared" si="110"/>
        <v>0</v>
      </c>
      <c r="BR75" s="600">
        <f t="shared" si="111"/>
        <v>646770.48</v>
      </c>
      <c r="BT75" s="606">
        <f t="shared" si="112"/>
        <v>1.4408619022934199</v>
      </c>
      <c r="BU75" s="607">
        <f t="shared" si="113"/>
        <v>0</v>
      </c>
      <c r="BV75" s="606">
        <f t="shared" si="114"/>
        <v>1</v>
      </c>
      <c r="BW75" s="607">
        <f t="shared" si="115"/>
        <v>0</v>
      </c>
      <c r="BX75" s="607">
        <f t="shared" si="116"/>
        <v>0</v>
      </c>
      <c r="BY75" s="607">
        <f t="shared" si="117"/>
        <v>0</v>
      </c>
      <c r="BZ75" s="607">
        <f t="shared" si="118"/>
        <v>0</v>
      </c>
      <c r="CA75" s="607">
        <f t="shared" si="119"/>
        <v>0</v>
      </c>
      <c r="CB75" s="607">
        <f t="shared" si="78"/>
        <v>0</v>
      </c>
      <c r="CC75" s="607">
        <f t="shared" si="120"/>
        <v>0</v>
      </c>
      <c r="CD75" s="607">
        <f t="shared" si="121"/>
        <v>0</v>
      </c>
      <c r="CE75" s="607">
        <f t="shared" si="122"/>
        <v>0</v>
      </c>
      <c r="CF75" s="607">
        <f t="shared" si="123"/>
        <v>0</v>
      </c>
      <c r="CG75" s="607">
        <f t="shared" si="124"/>
        <v>0</v>
      </c>
      <c r="CH75" s="607">
        <f t="shared" si="125"/>
        <v>1841077.36</v>
      </c>
      <c r="CI75" s="609"/>
      <c r="CK75" s="610" t="str">
        <f t="shared" si="79"/>
        <v/>
      </c>
      <c r="CL75" s="611" t="str">
        <f>IF(CK75="","",COUNTIFS($CK$16:CK75,"Yes")+MAX(State!AD:AD))</f>
        <v/>
      </c>
      <c r="CM75" s="612" t="b">
        <f>IF(C75="", "", AND(INDEX('Summary Dynamic'!$D$8:$D$10, MATCH(H75, 'Summary Dynamic'!$C$8:$C$10, 0))="Include", INDEX('Summary Dynamic'!$D$12:$D$14, MATCH(I75, 'Summary Dynamic'!$C$12:$C$14, 0))="Include", INDEX('Summary Dynamic'!$D$16:$D$17, MATCH(J75, 'Summary Dynamic'!$C$16:$C$17, 0))="Include", INDEX('Summary Dynamic'!$D$19:$D$20, MATCH(K75, 'Summary Dynamic'!$C$19:$C$20, 0))="Include", INDEX('Summary Dynamic'!$D$25:$D$26, MATCH(L75, 'Summary Dynamic'!$C$25:$C$26, 0))="Include",'Summary Dynamic'!$D$23="Include"))</f>
        <v>1</v>
      </c>
      <c r="CN75" s="613">
        <f>IFERROR(IF(CM75=TRUE, COUNTIFS($CM$16:CM75, TRUE), ""), "")</f>
        <v>60</v>
      </c>
      <c r="CP75" s="614" t="str">
        <f t="shared" si="126"/>
        <v>Rural Public</v>
      </c>
      <c r="CY75" s="615"/>
      <c r="CZ75" s="616"/>
    </row>
    <row r="76" spans="2:104" x14ac:dyDescent="0.25">
      <c r="B76" s="617">
        <f t="shared" si="67"/>
        <v>61</v>
      </c>
      <c r="C76" s="593" t="s">
        <v>666</v>
      </c>
      <c r="D76" s="594" t="s">
        <v>666</v>
      </c>
      <c r="E76" s="594" t="s">
        <v>667</v>
      </c>
      <c r="F76" s="407" t="s">
        <v>668</v>
      </c>
      <c r="G76" s="408" t="s">
        <v>669</v>
      </c>
      <c r="H76" s="408" t="s">
        <v>22</v>
      </c>
      <c r="I76" s="408" t="s">
        <v>26</v>
      </c>
      <c r="J76" s="408" t="s">
        <v>35</v>
      </c>
      <c r="K76" s="408" t="s">
        <v>37</v>
      </c>
      <c r="L76" s="408" t="s">
        <v>35</v>
      </c>
      <c r="M76" s="408" t="s">
        <v>37</v>
      </c>
      <c r="N76" s="595" t="str">
        <f t="shared" si="84"/>
        <v>No</v>
      </c>
      <c r="O76" s="596">
        <v>14493</v>
      </c>
      <c r="P76" s="596">
        <v>30138</v>
      </c>
      <c r="Q76" s="597">
        <v>0.19169070663888027</v>
      </c>
      <c r="R76" s="596">
        <f t="shared" si="68"/>
        <v>5777.174516682574</v>
      </c>
      <c r="S76" s="596">
        <f t="shared" si="69"/>
        <v>20270.174516682575</v>
      </c>
      <c r="T76" s="596">
        <f t="shared" si="85"/>
        <v>20270.174516682575</v>
      </c>
      <c r="U76" s="598">
        <f t="shared" si="70"/>
        <v>4.742254319791717E-3</v>
      </c>
      <c r="V76" s="599">
        <f t="shared" si="80"/>
        <v>0</v>
      </c>
      <c r="W76" s="600">
        <v>7861686.5180018758</v>
      </c>
      <c r="X76" s="600">
        <v>0</v>
      </c>
      <c r="Y76" s="600">
        <v>4131868.111718853</v>
      </c>
      <c r="Z76" s="600">
        <f t="shared" si="71"/>
        <v>0</v>
      </c>
      <c r="AA76" s="600">
        <f t="shared" si="72"/>
        <v>7861686.5180018758</v>
      </c>
      <c r="AB76" s="601">
        <f t="shared" si="86"/>
        <v>0</v>
      </c>
      <c r="AC76" s="599">
        <v>0</v>
      </c>
      <c r="AD76" s="599">
        <f>MAX(IF(M76="Yes",'Assumption Inputs'!$C$40,'Assumption Inputs'!$C$41),AC76)</f>
        <v>8000000</v>
      </c>
      <c r="AE76" s="599">
        <f t="shared" si="81"/>
        <v>5099876.0442278171</v>
      </c>
      <c r="AF76" s="599">
        <f t="shared" si="87"/>
        <v>0</v>
      </c>
      <c r="AG76" s="599">
        <f t="shared" si="82"/>
        <v>0</v>
      </c>
      <c r="AH76" s="599">
        <f t="shared" si="83"/>
        <v>5099876.0442278171</v>
      </c>
      <c r="AI76" s="599">
        <v>109977370.83861069</v>
      </c>
      <c r="AJ76" s="599">
        <v>107215560.36483663</v>
      </c>
      <c r="AK76" s="602">
        <f t="shared" si="74"/>
        <v>0.97488746591490216</v>
      </c>
      <c r="AL76" s="603">
        <f t="shared" si="25"/>
        <v>0</v>
      </c>
      <c r="AM76" s="600">
        <f t="shared" si="75"/>
        <v>5099876.0442278171</v>
      </c>
      <c r="AN76" s="600">
        <f t="shared" si="88"/>
        <v>5099876.0442278171</v>
      </c>
      <c r="AO76" s="600">
        <f t="shared" si="27"/>
        <v>0</v>
      </c>
      <c r="AP76" s="600">
        <f t="shared" si="28"/>
        <v>2761810.4737740587</v>
      </c>
      <c r="AQ76" s="600">
        <f t="shared" si="76"/>
        <v>0</v>
      </c>
      <c r="AR76" s="600">
        <f t="shared" si="77"/>
        <v>5099876.0442278171</v>
      </c>
      <c r="AS76" s="604">
        <f t="shared" si="89"/>
        <v>0</v>
      </c>
      <c r="AT76" s="605">
        <f t="shared" si="90"/>
        <v>0</v>
      </c>
      <c r="AU76" s="600">
        <f t="shared" si="91"/>
        <v>5099876.0442278171</v>
      </c>
      <c r="AV76" s="600">
        <f t="shared" si="92"/>
        <v>5099876.0442278171</v>
      </c>
      <c r="AW76" s="600">
        <f t="shared" si="93"/>
        <v>0</v>
      </c>
      <c r="AX76" s="600">
        <f t="shared" si="94"/>
        <v>2761810.4737740587</v>
      </c>
      <c r="AY76" s="600">
        <f t="shared" si="95"/>
        <v>5.4339979682212744E-12</v>
      </c>
      <c r="AZ76" s="600">
        <f t="shared" si="96"/>
        <v>5099876.0442278171</v>
      </c>
      <c r="BA76" s="600">
        <f t="shared" si="97"/>
        <v>0</v>
      </c>
      <c r="BB76" s="600">
        <f t="shared" si="98"/>
        <v>0</v>
      </c>
      <c r="BC76" s="600">
        <f t="shared" si="99"/>
        <v>0</v>
      </c>
      <c r="BD76" s="600">
        <f t="shared" si="100"/>
        <v>0</v>
      </c>
      <c r="BE76" s="600">
        <f t="shared" si="101"/>
        <v>2761810.4737740587</v>
      </c>
      <c r="BF76" s="600">
        <f t="shared" si="102"/>
        <v>5099876.0442278171</v>
      </c>
      <c r="BG76" s="600">
        <v>0</v>
      </c>
      <c r="BH76" s="600">
        <v>0</v>
      </c>
      <c r="BI76" s="600">
        <f t="shared" si="103"/>
        <v>0</v>
      </c>
      <c r="BJ76" s="600">
        <f t="shared" si="104"/>
        <v>5099876.04</v>
      </c>
      <c r="BK76" s="600">
        <f t="shared" si="105"/>
        <v>1791586.4528519998</v>
      </c>
      <c r="BL76" s="600">
        <v>5099876.04</v>
      </c>
      <c r="BM76" s="600">
        <f t="shared" si="106"/>
        <v>0</v>
      </c>
      <c r="BN76" s="600">
        <f t="shared" si="107"/>
        <v>0</v>
      </c>
      <c r="BO76" s="600">
        <f t="shared" si="108"/>
        <v>0</v>
      </c>
      <c r="BP76" s="600">
        <f t="shared" si="109"/>
        <v>1791586.4528519998</v>
      </c>
      <c r="BQ76" s="600">
        <f t="shared" si="110"/>
        <v>0</v>
      </c>
      <c r="BR76" s="600">
        <f t="shared" si="111"/>
        <v>0</v>
      </c>
      <c r="BT76" s="606">
        <f t="shared" si="112"/>
        <v>1</v>
      </c>
      <c r="BU76" s="607">
        <f t="shared" si="113"/>
        <v>0</v>
      </c>
      <c r="BV76" s="606">
        <f t="shared" si="114"/>
        <v>1</v>
      </c>
      <c r="BW76" s="607">
        <f t="shared" si="115"/>
        <v>0</v>
      </c>
      <c r="BX76" s="607">
        <f t="shared" si="116"/>
        <v>0</v>
      </c>
      <c r="BY76" s="607">
        <f t="shared" si="117"/>
        <v>0</v>
      </c>
      <c r="BZ76" s="607">
        <f t="shared" si="118"/>
        <v>0</v>
      </c>
      <c r="CA76" s="607">
        <f t="shared" si="119"/>
        <v>0</v>
      </c>
      <c r="CB76" s="607">
        <f t="shared" si="78"/>
        <v>0</v>
      </c>
      <c r="CC76" s="607">
        <f t="shared" si="120"/>
        <v>0</v>
      </c>
      <c r="CD76" s="607">
        <f t="shared" si="121"/>
        <v>0</v>
      </c>
      <c r="CE76" s="607">
        <f t="shared" si="122"/>
        <v>0</v>
      </c>
      <c r="CF76" s="607">
        <f t="shared" si="123"/>
        <v>0</v>
      </c>
      <c r="CG76" s="607">
        <f t="shared" si="124"/>
        <v>0</v>
      </c>
      <c r="CH76" s="607">
        <f t="shared" si="125"/>
        <v>5099876.04</v>
      </c>
      <c r="CI76" s="609"/>
      <c r="CK76" s="610" t="str">
        <f t="shared" si="79"/>
        <v/>
      </c>
      <c r="CL76" s="611" t="str">
        <f>IF(CK76="","",COUNTIFS($CK$16:CK76,"Yes")+MAX(State!AD:AD))</f>
        <v/>
      </c>
      <c r="CM76" s="612" t="b">
        <f>IF(C76="", "", AND(INDEX('Summary Dynamic'!$D$8:$D$10, MATCH(H76, 'Summary Dynamic'!$C$8:$C$10, 0))="Include", INDEX('Summary Dynamic'!$D$12:$D$14, MATCH(I76, 'Summary Dynamic'!$C$12:$C$14, 0))="Include", INDEX('Summary Dynamic'!$D$16:$D$17, MATCH(J76, 'Summary Dynamic'!$C$16:$C$17, 0))="Include", INDEX('Summary Dynamic'!$D$19:$D$20, MATCH(K76, 'Summary Dynamic'!$C$19:$C$20, 0))="Include", INDEX('Summary Dynamic'!$D$25:$D$26, MATCH(L76, 'Summary Dynamic'!$C$25:$C$26, 0))="Include",'Summary Dynamic'!$D$23="Include"))</f>
        <v>1</v>
      </c>
      <c r="CN76" s="613">
        <f>IFERROR(IF(CM76=TRUE, COUNTIFS($CM$16:CM76, TRUE), ""), "")</f>
        <v>61</v>
      </c>
      <c r="CP76" s="614" t="str">
        <f t="shared" si="126"/>
        <v>Children's Hospital</v>
      </c>
      <c r="CY76" s="615"/>
      <c r="CZ76" s="616"/>
    </row>
    <row r="77" spans="2:104" x14ac:dyDescent="0.25">
      <c r="B77" s="617">
        <f t="shared" si="67"/>
        <v>62</v>
      </c>
      <c r="C77" s="593" t="s">
        <v>670</v>
      </c>
      <c r="D77" s="594" t="s">
        <v>670</v>
      </c>
      <c r="E77" s="594" t="s">
        <v>671</v>
      </c>
      <c r="F77" s="407" t="s">
        <v>672</v>
      </c>
      <c r="G77" s="408" t="s">
        <v>673</v>
      </c>
      <c r="H77" s="408" t="s">
        <v>22</v>
      </c>
      <c r="I77" s="408" t="s">
        <v>26</v>
      </c>
      <c r="J77" s="408" t="s">
        <v>31</v>
      </c>
      <c r="K77" s="408" t="s">
        <v>35</v>
      </c>
      <c r="L77" s="408" t="s">
        <v>35</v>
      </c>
      <c r="M77" s="408" t="s">
        <v>35</v>
      </c>
      <c r="N77" s="595" t="str">
        <f t="shared" si="84"/>
        <v>No</v>
      </c>
      <c r="O77" s="596">
        <v>3401</v>
      </c>
      <c r="P77" s="596">
        <v>23247</v>
      </c>
      <c r="Q77" s="597">
        <v>0.13948019092299455</v>
      </c>
      <c r="R77" s="596">
        <f t="shared" si="68"/>
        <v>3242.4959983868544</v>
      </c>
      <c r="S77" s="596">
        <f t="shared" si="69"/>
        <v>6643.4959983868539</v>
      </c>
      <c r="T77" s="596">
        <f t="shared" si="85"/>
        <v>6643.4959983868539</v>
      </c>
      <c r="U77" s="598">
        <f t="shared" si="70"/>
        <v>1.5542612901995473E-3</v>
      </c>
      <c r="V77" s="599">
        <f t="shared" si="80"/>
        <v>0</v>
      </c>
      <c r="W77" s="600">
        <v>415236.46073496295</v>
      </c>
      <c r="X77" s="600">
        <v>0</v>
      </c>
      <c r="Y77" s="600">
        <v>4467267.7706839461</v>
      </c>
      <c r="Z77" s="600">
        <f t="shared" si="71"/>
        <v>0</v>
      </c>
      <c r="AA77" s="600">
        <f t="shared" si="72"/>
        <v>415236.46073496295</v>
      </c>
      <c r="AB77" s="601">
        <f t="shared" si="86"/>
        <v>0</v>
      </c>
      <c r="AC77" s="599">
        <v>0</v>
      </c>
      <c r="AD77" s="599">
        <f>MAX(IF(M77="Yes",'Assumption Inputs'!$C$40,'Assumption Inputs'!$C$41),AC77)</f>
        <v>6000000</v>
      </c>
      <c r="AE77" s="599">
        <f t="shared" si="81"/>
        <v>269363.8920787705</v>
      </c>
      <c r="AF77" s="599">
        <f t="shared" si="87"/>
        <v>0</v>
      </c>
      <c r="AG77" s="599">
        <f t="shared" si="82"/>
        <v>0</v>
      </c>
      <c r="AH77" s="599">
        <f t="shared" si="83"/>
        <v>269363.8920787705</v>
      </c>
      <c r="AI77" s="599">
        <v>21499046.240150802</v>
      </c>
      <c r="AJ77" s="599">
        <v>21353173.671494614</v>
      </c>
      <c r="AK77" s="602">
        <f t="shared" si="74"/>
        <v>0.99321492837278702</v>
      </c>
      <c r="AL77" s="603">
        <f t="shared" si="25"/>
        <v>0</v>
      </c>
      <c r="AM77" s="600">
        <f t="shared" si="75"/>
        <v>269363.8920787705</v>
      </c>
      <c r="AN77" s="600">
        <f t="shared" si="88"/>
        <v>269363.8920787705</v>
      </c>
      <c r="AO77" s="600">
        <f t="shared" si="27"/>
        <v>0</v>
      </c>
      <c r="AP77" s="600">
        <f t="shared" si="28"/>
        <v>145872.56865619245</v>
      </c>
      <c r="AQ77" s="600">
        <f t="shared" si="76"/>
        <v>0</v>
      </c>
      <c r="AR77" s="600">
        <f t="shared" si="77"/>
        <v>269363.8920787705</v>
      </c>
      <c r="AS77" s="604">
        <f t="shared" si="89"/>
        <v>0</v>
      </c>
      <c r="AT77" s="605">
        <f t="shared" si="90"/>
        <v>0</v>
      </c>
      <c r="AU77" s="600">
        <f t="shared" si="91"/>
        <v>269363.8920787705</v>
      </c>
      <c r="AV77" s="600">
        <f t="shared" si="92"/>
        <v>269363.8920787705</v>
      </c>
      <c r="AW77" s="600">
        <f t="shared" si="93"/>
        <v>0</v>
      </c>
      <c r="AX77" s="600">
        <f t="shared" si="94"/>
        <v>145872.56865619245</v>
      </c>
      <c r="AY77" s="600">
        <f t="shared" si="95"/>
        <v>2.8701145470484438E-13</v>
      </c>
      <c r="AZ77" s="600">
        <f t="shared" si="96"/>
        <v>269363.8920787705</v>
      </c>
      <c r="BA77" s="600">
        <f t="shared" si="97"/>
        <v>0</v>
      </c>
      <c r="BB77" s="600">
        <f t="shared" si="98"/>
        <v>0</v>
      </c>
      <c r="BC77" s="600">
        <f t="shared" si="99"/>
        <v>0</v>
      </c>
      <c r="BD77" s="600">
        <f t="shared" si="100"/>
        <v>0</v>
      </c>
      <c r="BE77" s="600">
        <f t="shared" si="101"/>
        <v>145872.56865619245</v>
      </c>
      <c r="BF77" s="600">
        <f t="shared" si="102"/>
        <v>269363.8920787705</v>
      </c>
      <c r="BG77" s="600">
        <v>0</v>
      </c>
      <c r="BH77" s="600">
        <v>0</v>
      </c>
      <c r="BI77" s="600">
        <f t="shared" si="103"/>
        <v>0</v>
      </c>
      <c r="BJ77" s="600">
        <f t="shared" si="104"/>
        <v>269363.89</v>
      </c>
      <c r="BK77" s="600">
        <f t="shared" si="105"/>
        <v>94627.534556999992</v>
      </c>
      <c r="BL77" s="600">
        <v>269363.89</v>
      </c>
      <c r="BM77" s="600">
        <f t="shared" si="106"/>
        <v>0</v>
      </c>
      <c r="BN77" s="600">
        <f t="shared" si="107"/>
        <v>0</v>
      </c>
      <c r="BO77" s="600">
        <f t="shared" si="108"/>
        <v>0</v>
      </c>
      <c r="BP77" s="600">
        <f t="shared" si="109"/>
        <v>94627.534556999992</v>
      </c>
      <c r="BQ77" s="600">
        <f t="shared" si="110"/>
        <v>0</v>
      </c>
      <c r="BR77" s="600">
        <f t="shared" si="111"/>
        <v>0</v>
      </c>
      <c r="BT77" s="606">
        <f t="shared" si="112"/>
        <v>1</v>
      </c>
      <c r="BU77" s="607">
        <f t="shared" si="113"/>
        <v>0</v>
      </c>
      <c r="BV77" s="606">
        <f t="shared" si="114"/>
        <v>1.0057440371988775</v>
      </c>
      <c r="BW77" s="607">
        <f t="shared" si="115"/>
        <v>0</v>
      </c>
      <c r="BX77" s="607">
        <f t="shared" si="116"/>
        <v>0</v>
      </c>
      <c r="BY77" s="607">
        <f t="shared" si="117"/>
        <v>0</v>
      </c>
      <c r="BZ77" s="607">
        <f t="shared" si="118"/>
        <v>0</v>
      </c>
      <c r="CA77" s="607">
        <f t="shared" si="119"/>
        <v>0</v>
      </c>
      <c r="CB77" s="607">
        <f t="shared" si="78"/>
        <v>0</v>
      </c>
      <c r="CC77" s="607">
        <f t="shared" si="120"/>
        <v>51245.033368920398</v>
      </c>
      <c r="CD77" s="607">
        <f t="shared" si="121"/>
        <v>145872.56865619245</v>
      </c>
      <c r="CE77" s="607">
        <f t="shared" si="122"/>
        <v>145872.56865619245</v>
      </c>
      <c r="CF77" s="607">
        <f t="shared" si="123"/>
        <v>70306.64</v>
      </c>
      <c r="CG77" s="607">
        <f t="shared" si="124"/>
        <v>0</v>
      </c>
      <c r="CH77" s="607">
        <f t="shared" si="125"/>
        <v>339670.53</v>
      </c>
      <c r="CI77" s="609"/>
      <c r="CK77" s="610" t="str">
        <f t="shared" si="79"/>
        <v/>
      </c>
      <c r="CL77" s="611" t="str">
        <f>IF(CK77="","",COUNTIFS($CK$16:CK77,"Yes")+MAX(State!AD:AD))</f>
        <v/>
      </c>
      <c r="CM77" s="612" t="b">
        <f>IF(C77="", "", AND(INDEX('Summary Dynamic'!$D$8:$D$10, MATCH(H77, 'Summary Dynamic'!$C$8:$C$10, 0))="Include", INDEX('Summary Dynamic'!$D$12:$D$14, MATCH(I77, 'Summary Dynamic'!$C$12:$C$14, 0))="Include", INDEX('Summary Dynamic'!$D$16:$D$17, MATCH(J77, 'Summary Dynamic'!$C$16:$C$17, 0))="Include", INDEX('Summary Dynamic'!$D$19:$D$20, MATCH(K77, 'Summary Dynamic'!$C$19:$C$20, 0))="Include", INDEX('Summary Dynamic'!$D$25:$D$26, MATCH(L77, 'Summary Dynamic'!$C$25:$C$26, 0))="Include",'Summary Dynamic'!$D$23="Include"))</f>
        <v>1</v>
      </c>
      <c r="CN77" s="613">
        <f>IFERROR(IF(CM77=TRUE, COUNTIFS($CM$16:CM77, TRUE), ""), "")</f>
        <v>62</v>
      </c>
      <c r="CP77" s="614" t="str">
        <f t="shared" si="126"/>
        <v>Rural Private</v>
      </c>
      <c r="CY77" s="615"/>
      <c r="CZ77" s="616"/>
    </row>
    <row r="78" spans="2:104" x14ac:dyDescent="0.25">
      <c r="B78" s="617">
        <f t="shared" si="67"/>
        <v>63</v>
      </c>
      <c r="C78" s="593" t="s">
        <v>674</v>
      </c>
      <c r="D78" s="594" t="s">
        <v>674</v>
      </c>
      <c r="E78" s="594" t="s">
        <v>675</v>
      </c>
      <c r="F78" s="407" t="s">
        <v>676</v>
      </c>
      <c r="G78" s="408" t="s">
        <v>677</v>
      </c>
      <c r="H78" s="408" t="s">
        <v>22</v>
      </c>
      <c r="I78" s="408" t="s">
        <v>28</v>
      </c>
      <c r="J78" s="408" t="s">
        <v>31</v>
      </c>
      <c r="K78" s="408" t="s">
        <v>35</v>
      </c>
      <c r="L78" s="408" t="s">
        <v>35</v>
      </c>
      <c r="M78" s="408" t="s">
        <v>35</v>
      </c>
      <c r="N78" s="595" t="str">
        <f t="shared" si="84"/>
        <v>Yes</v>
      </c>
      <c r="O78" s="596">
        <v>279</v>
      </c>
      <c r="P78" s="596">
        <v>1333</v>
      </c>
      <c r="Q78" s="597">
        <v>0.15731858658768599</v>
      </c>
      <c r="R78" s="596">
        <f t="shared" si="68"/>
        <v>209.70567592138542</v>
      </c>
      <c r="S78" s="596">
        <f t="shared" si="69"/>
        <v>488.70567592138542</v>
      </c>
      <c r="T78" s="596">
        <f t="shared" si="85"/>
        <v>660.38797987256805</v>
      </c>
      <c r="U78" s="598">
        <f t="shared" si="70"/>
        <v>1.5449929884480101E-4</v>
      </c>
      <c r="V78" s="599">
        <f t="shared" si="80"/>
        <v>0</v>
      </c>
      <c r="W78" s="600">
        <v>3193843.1334032724</v>
      </c>
      <c r="X78" s="600">
        <v>0</v>
      </c>
      <c r="Y78" s="600">
        <v>247545.9947244199</v>
      </c>
      <c r="Z78" s="600">
        <f t="shared" si="71"/>
        <v>0</v>
      </c>
      <c r="AA78" s="600">
        <f t="shared" si="72"/>
        <v>3193843.1334032724</v>
      </c>
      <c r="AB78" s="601">
        <f t="shared" si="86"/>
        <v>0</v>
      </c>
      <c r="AC78" s="599">
        <v>557065.08592946362</v>
      </c>
      <c r="AD78" s="599">
        <f>MAX(IF(M78="Yes",'Assumption Inputs'!$C$40,'Assumption Inputs'!$C$41),AC78)</f>
        <v>6000000</v>
      </c>
      <c r="AE78" s="599">
        <f t="shared" si="81"/>
        <v>2071846.0406387032</v>
      </c>
      <c r="AF78" s="599">
        <f t="shared" si="87"/>
        <v>1121997.0927645697</v>
      </c>
      <c r="AG78" s="599">
        <f t="shared" si="82"/>
        <v>0</v>
      </c>
      <c r="AH78" s="599">
        <f t="shared" si="83"/>
        <v>3193843.1334032728</v>
      </c>
      <c r="AI78" s="599">
        <v>5033627.1432077754</v>
      </c>
      <c r="AJ78" s="599">
        <v>5033627.1432077764</v>
      </c>
      <c r="AK78" s="602">
        <f t="shared" si="74"/>
        <v>1.0000000000000002</v>
      </c>
      <c r="AL78" s="603">
        <f t="shared" si="25"/>
        <v>0</v>
      </c>
      <c r="AM78" s="600">
        <f t="shared" si="75"/>
        <v>2071846.0406387032</v>
      </c>
      <c r="AN78" s="600">
        <f t="shared" si="88"/>
        <v>2071846.0406387032</v>
      </c>
      <c r="AO78" s="600">
        <f t="shared" si="27"/>
        <v>0</v>
      </c>
      <c r="AP78" s="600">
        <f t="shared" si="28"/>
        <v>1121997.0927645692</v>
      </c>
      <c r="AQ78" s="600">
        <f t="shared" si="76"/>
        <v>0</v>
      </c>
      <c r="AR78" s="600">
        <f t="shared" si="77"/>
        <v>2071846.0406387032</v>
      </c>
      <c r="AS78" s="604">
        <f t="shared" si="89"/>
        <v>1121997.0927645697</v>
      </c>
      <c r="AT78" s="605">
        <f t="shared" si="90"/>
        <v>0</v>
      </c>
      <c r="AU78" s="600">
        <f t="shared" si="91"/>
        <v>3193843.1334032728</v>
      </c>
      <c r="AV78" s="600">
        <f t="shared" si="92"/>
        <v>3193843.1334032724</v>
      </c>
      <c r="AW78" s="600">
        <f t="shared" si="93"/>
        <v>4.6566128730773926E-10</v>
      </c>
      <c r="AX78" s="600">
        <f t="shared" si="94"/>
        <v>0</v>
      </c>
      <c r="AY78" s="600">
        <f t="shared" si="95"/>
        <v>0</v>
      </c>
      <c r="AZ78" s="600">
        <f t="shared" si="96"/>
        <v>3193843.1334032724</v>
      </c>
      <c r="BA78" s="600">
        <f t="shared" si="97"/>
        <v>-1.6358681023120878E-10</v>
      </c>
      <c r="BB78" s="600">
        <f t="shared" si="98"/>
        <v>0</v>
      </c>
      <c r="BC78" s="600">
        <f t="shared" si="99"/>
        <v>0</v>
      </c>
      <c r="BD78" s="600">
        <f t="shared" si="100"/>
        <v>1121997.0927645694</v>
      </c>
      <c r="BE78" s="600">
        <f t="shared" si="101"/>
        <v>0</v>
      </c>
      <c r="BF78" s="600">
        <f t="shared" si="102"/>
        <v>2071846.0406387029</v>
      </c>
      <c r="BG78" s="600">
        <v>0</v>
      </c>
      <c r="BH78" s="600">
        <v>0</v>
      </c>
      <c r="BI78" s="600">
        <f t="shared" si="103"/>
        <v>0</v>
      </c>
      <c r="BJ78" s="600">
        <f t="shared" si="104"/>
        <v>3193843.13</v>
      </c>
      <c r="BK78" s="600">
        <f t="shared" si="105"/>
        <v>1121997.0915689997</v>
      </c>
      <c r="BL78" s="600">
        <v>3193843.13</v>
      </c>
      <c r="BM78" s="600">
        <f t="shared" si="106"/>
        <v>0</v>
      </c>
      <c r="BN78" s="600">
        <f t="shared" si="107"/>
        <v>0</v>
      </c>
      <c r="BO78" s="600">
        <f t="shared" si="108"/>
        <v>1121997.0900000001</v>
      </c>
      <c r="BP78" s="600">
        <f t="shared" si="109"/>
        <v>1121997.0915689997</v>
      </c>
      <c r="BQ78" s="600">
        <f t="shared" si="110"/>
        <v>0</v>
      </c>
      <c r="BR78" s="600">
        <f t="shared" si="111"/>
        <v>1121997.0900000001</v>
      </c>
      <c r="BT78" s="606">
        <f t="shared" si="112"/>
        <v>1.6345013325648636</v>
      </c>
      <c r="BU78" s="607">
        <f t="shared" si="113"/>
        <v>0</v>
      </c>
      <c r="BV78" s="606">
        <f t="shared" si="114"/>
        <v>1</v>
      </c>
      <c r="BW78" s="607">
        <f t="shared" si="115"/>
        <v>0</v>
      </c>
      <c r="BX78" s="607">
        <f t="shared" si="116"/>
        <v>0</v>
      </c>
      <c r="BY78" s="607">
        <f t="shared" si="117"/>
        <v>0</v>
      </c>
      <c r="BZ78" s="607">
        <f t="shared" si="118"/>
        <v>0</v>
      </c>
      <c r="CA78" s="607">
        <f t="shared" si="119"/>
        <v>0</v>
      </c>
      <c r="CB78" s="607">
        <f t="shared" si="78"/>
        <v>0</v>
      </c>
      <c r="CC78" s="607">
        <f t="shared" si="120"/>
        <v>0</v>
      </c>
      <c r="CD78" s="607">
        <f t="shared" si="121"/>
        <v>0</v>
      </c>
      <c r="CE78" s="607">
        <f t="shared" si="122"/>
        <v>0</v>
      </c>
      <c r="CF78" s="607">
        <f t="shared" si="123"/>
        <v>0</v>
      </c>
      <c r="CG78" s="607">
        <f t="shared" si="124"/>
        <v>0</v>
      </c>
      <c r="CH78" s="607">
        <f t="shared" si="125"/>
        <v>3193843.13</v>
      </c>
      <c r="CI78" s="609"/>
      <c r="CK78" s="610" t="str">
        <f t="shared" si="79"/>
        <v/>
      </c>
      <c r="CL78" s="611" t="str">
        <f>IF(CK78="","",COUNTIFS($CK$16:CK78,"Yes")+MAX(State!AD:AD))</f>
        <v/>
      </c>
      <c r="CM78" s="612" t="b">
        <f>IF(C78="", "", AND(INDEX('Summary Dynamic'!$D$8:$D$10, MATCH(H78, 'Summary Dynamic'!$C$8:$C$10, 0))="Include", INDEX('Summary Dynamic'!$D$12:$D$14, MATCH(I78, 'Summary Dynamic'!$C$12:$C$14, 0))="Include", INDEX('Summary Dynamic'!$D$16:$D$17, MATCH(J78, 'Summary Dynamic'!$C$16:$C$17, 0))="Include", INDEX('Summary Dynamic'!$D$19:$D$20, MATCH(K78, 'Summary Dynamic'!$C$19:$C$20, 0))="Include", INDEX('Summary Dynamic'!$D$25:$D$26, MATCH(L78, 'Summary Dynamic'!$C$25:$C$26, 0))="Include",'Summary Dynamic'!$D$23="Include"))</f>
        <v>1</v>
      </c>
      <c r="CN78" s="613">
        <f>IFERROR(IF(CM78=TRUE, COUNTIFS($CM$16:CM78, TRUE), ""), "")</f>
        <v>63</v>
      </c>
      <c r="CP78" s="614" t="str">
        <f t="shared" si="126"/>
        <v>Rural Public</v>
      </c>
      <c r="CY78" s="615"/>
      <c r="CZ78" s="616"/>
    </row>
    <row r="79" spans="2:104" x14ac:dyDescent="0.25">
      <c r="B79" s="617">
        <f t="shared" si="67"/>
        <v>64</v>
      </c>
      <c r="C79" s="620" t="s">
        <v>678</v>
      </c>
      <c r="D79" s="621" t="s">
        <v>678</v>
      </c>
      <c r="E79" s="621" t="s">
        <v>679</v>
      </c>
      <c r="F79" s="407" t="s">
        <v>680</v>
      </c>
      <c r="G79" s="408" t="s">
        <v>681</v>
      </c>
      <c r="H79" s="408" t="s">
        <v>22</v>
      </c>
      <c r="I79" s="408" t="s">
        <v>28</v>
      </c>
      <c r="J79" s="408" t="s">
        <v>31</v>
      </c>
      <c r="K79" s="408" t="s">
        <v>35</v>
      </c>
      <c r="L79" s="408" t="s">
        <v>35</v>
      </c>
      <c r="M79" s="408" t="s">
        <v>35</v>
      </c>
      <c r="N79" s="595" t="str">
        <f t="shared" si="84"/>
        <v>Yes</v>
      </c>
      <c r="O79" s="596">
        <v>407</v>
      </c>
      <c r="P79" s="596">
        <v>3010</v>
      </c>
      <c r="Q79" s="597">
        <v>0.32755760444444448</v>
      </c>
      <c r="R79" s="596">
        <f t="shared" si="68"/>
        <v>985.94838937777786</v>
      </c>
      <c r="S79" s="596">
        <f t="shared" si="69"/>
        <v>1392.9483893777779</v>
      </c>
      <c r="T79" s="596">
        <f t="shared" si="85"/>
        <v>1882.2911585661911</v>
      </c>
      <c r="U79" s="598">
        <f t="shared" si="70"/>
        <v>4.403663801942026E-4</v>
      </c>
      <c r="V79" s="599">
        <f t="shared" si="80"/>
        <v>0</v>
      </c>
      <c r="W79" s="600">
        <v>2319069.6285375771</v>
      </c>
      <c r="X79" s="600">
        <v>0</v>
      </c>
      <c r="Y79" s="600">
        <v>753637.21955774562</v>
      </c>
      <c r="Z79" s="600">
        <f t="shared" si="71"/>
        <v>0</v>
      </c>
      <c r="AA79" s="600">
        <f t="shared" si="72"/>
        <v>2319069.6285375771</v>
      </c>
      <c r="AB79" s="601">
        <f t="shared" si="86"/>
        <v>0</v>
      </c>
      <c r="AC79" s="599">
        <v>883458.44207947911</v>
      </c>
      <c r="AD79" s="599">
        <f>MAX(IF(M79="Yes",'Assumption Inputs'!$C$40,'Assumption Inputs'!$C$41),AC79)</f>
        <v>6000000</v>
      </c>
      <c r="AE79" s="599">
        <f t="shared" si="81"/>
        <v>1504380.4680323265</v>
      </c>
      <c r="AF79" s="599">
        <f t="shared" si="87"/>
        <v>814689.16050525091</v>
      </c>
      <c r="AG79" s="599">
        <f t="shared" si="82"/>
        <v>0</v>
      </c>
      <c r="AH79" s="599">
        <f t="shared" si="83"/>
        <v>2319069.6285375776</v>
      </c>
      <c r="AI79" s="599">
        <v>4109990.0895110979</v>
      </c>
      <c r="AJ79" s="599">
        <v>4109990.0895110983</v>
      </c>
      <c r="AK79" s="602">
        <f t="shared" si="74"/>
        <v>1.0000000000000002</v>
      </c>
      <c r="AL79" s="603">
        <f t="shared" si="25"/>
        <v>0</v>
      </c>
      <c r="AM79" s="600">
        <f t="shared" si="75"/>
        <v>1504380.4680323265</v>
      </c>
      <c r="AN79" s="600">
        <f t="shared" si="88"/>
        <v>1504380.4680323265</v>
      </c>
      <c r="AO79" s="600">
        <f t="shared" si="27"/>
        <v>0</v>
      </c>
      <c r="AP79" s="600">
        <f t="shared" si="28"/>
        <v>814689.16050525056</v>
      </c>
      <c r="AQ79" s="600">
        <f t="shared" si="76"/>
        <v>0</v>
      </c>
      <c r="AR79" s="600">
        <f t="shared" si="77"/>
        <v>1504380.4680323265</v>
      </c>
      <c r="AS79" s="604">
        <f t="shared" si="89"/>
        <v>814689.16050525091</v>
      </c>
      <c r="AT79" s="605">
        <f t="shared" si="90"/>
        <v>0</v>
      </c>
      <c r="AU79" s="600">
        <f t="shared" si="91"/>
        <v>2319069.6285375776</v>
      </c>
      <c r="AV79" s="600">
        <f t="shared" si="92"/>
        <v>2319069.6285375771</v>
      </c>
      <c r="AW79" s="600">
        <f t="shared" si="93"/>
        <v>4.6566128730773926E-10</v>
      </c>
      <c r="AX79" s="600">
        <f t="shared" si="94"/>
        <v>0</v>
      </c>
      <c r="AY79" s="600">
        <f t="shared" si="95"/>
        <v>0</v>
      </c>
      <c r="AZ79" s="600">
        <f t="shared" si="96"/>
        <v>2319069.6285375771</v>
      </c>
      <c r="BA79" s="600">
        <f t="shared" si="97"/>
        <v>-1.6358681023120878E-10</v>
      </c>
      <c r="BB79" s="600">
        <f t="shared" si="98"/>
        <v>0</v>
      </c>
      <c r="BC79" s="600">
        <f t="shared" si="99"/>
        <v>0</v>
      </c>
      <c r="BD79" s="600">
        <f t="shared" si="100"/>
        <v>814689.16050525079</v>
      </c>
      <c r="BE79" s="600">
        <f t="shared" si="101"/>
        <v>0</v>
      </c>
      <c r="BF79" s="600">
        <f t="shared" si="102"/>
        <v>1504380.4680323263</v>
      </c>
      <c r="BG79" s="600">
        <v>0</v>
      </c>
      <c r="BH79" s="600">
        <v>0</v>
      </c>
      <c r="BI79" s="600">
        <f t="shared" si="103"/>
        <v>0</v>
      </c>
      <c r="BJ79" s="600">
        <f t="shared" si="104"/>
        <v>2319069.63</v>
      </c>
      <c r="BK79" s="600">
        <f t="shared" si="105"/>
        <v>814689.16101899988</v>
      </c>
      <c r="BL79" s="600">
        <v>2319069.63</v>
      </c>
      <c r="BM79" s="600">
        <f t="shared" si="106"/>
        <v>0</v>
      </c>
      <c r="BN79" s="600">
        <f t="shared" si="107"/>
        <v>0</v>
      </c>
      <c r="BO79" s="600">
        <f t="shared" si="108"/>
        <v>814689.16</v>
      </c>
      <c r="BP79" s="600">
        <f t="shared" si="109"/>
        <v>814689.16101899988</v>
      </c>
      <c r="BQ79" s="600">
        <f t="shared" si="110"/>
        <v>0</v>
      </c>
      <c r="BR79" s="600">
        <f t="shared" si="111"/>
        <v>814689.16</v>
      </c>
      <c r="BT79" s="606">
        <f t="shared" si="112"/>
        <v>1.5642518788350326</v>
      </c>
      <c r="BU79" s="607">
        <f t="shared" si="113"/>
        <v>0</v>
      </c>
      <c r="BV79" s="606">
        <f t="shared" si="114"/>
        <v>1</v>
      </c>
      <c r="BW79" s="607">
        <f t="shared" si="115"/>
        <v>0</v>
      </c>
      <c r="BX79" s="607">
        <f t="shared" si="116"/>
        <v>0</v>
      </c>
      <c r="BY79" s="607">
        <f t="shared" si="117"/>
        <v>0</v>
      </c>
      <c r="BZ79" s="607">
        <f t="shared" si="118"/>
        <v>0</v>
      </c>
      <c r="CA79" s="607">
        <f t="shared" si="119"/>
        <v>0</v>
      </c>
      <c r="CB79" s="607">
        <f t="shared" si="78"/>
        <v>0</v>
      </c>
      <c r="CC79" s="607">
        <f t="shared" si="120"/>
        <v>0</v>
      </c>
      <c r="CD79" s="607">
        <f t="shared" si="121"/>
        <v>0</v>
      </c>
      <c r="CE79" s="607">
        <f t="shared" si="122"/>
        <v>0</v>
      </c>
      <c r="CF79" s="607">
        <f t="shared" si="123"/>
        <v>0</v>
      </c>
      <c r="CG79" s="607">
        <f t="shared" si="124"/>
        <v>0</v>
      </c>
      <c r="CH79" s="607">
        <f t="shared" si="125"/>
        <v>2319069.63</v>
      </c>
      <c r="CI79" s="609"/>
      <c r="CK79" s="610" t="str">
        <f t="shared" si="79"/>
        <v/>
      </c>
      <c r="CL79" s="611" t="str">
        <f>IF(CK79="","",COUNTIFS($CK$16:CK79,"Yes")+MAX(State!AD:AD))</f>
        <v/>
      </c>
      <c r="CM79" s="612" t="b">
        <f>IF(C79="", "", AND(INDEX('Summary Dynamic'!$D$8:$D$10, MATCH(H79, 'Summary Dynamic'!$C$8:$C$10, 0))="Include", INDEX('Summary Dynamic'!$D$12:$D$14, MATCH(I79, 'Summary Dynamic'!$C$12:$C$14, 0))="Include", INDEX('Summary Dynamic'!$D$16:$D$17, MATCH(J79, 'Summary Dynamic'!$C$16:$C$17, 0))="Include", INDEX('Summary Dynamic'!$D$19:$D$20, MATCH(K79, 'Summary Dynamic'!$C$19:$C$20, 0))="Include", INDEX('Summary Dynamic'!$D$25:$D$26, MATCH(L79, 'Summary Dynamic'!$C$25:$C$26, 0))="Include",'Summary Dynamic'!$D$23="Include"))</f>
        <v>1</v>
      </c>
      <c r="CN79" s="613">
        <f>IFERROR(IF(CM79=TRUE, COUNTIFS($CM$16:CM79, TRUE), ""), "")</f>
        <v>64</v>
      </c>
      <c r="CP79" s="614" t="str">
        <f t="shared" si="126"/>
        <v>Rural Public</v>
      </c>
      <c r="CY79" s="615"/>
      <c r="CZ79" s="616"/>
    </row>
    <row r="80" spans="2:104" x14ac:dyDescent="0.25">
      <c r="B80" s="617">
        <f t="shared" si="67"/>
        <v>65</v>
      </c>
      <c r="C80" s="620" t="s">
        <v>682</v>
      </c>
      <c r="D80" s="621" t="s">
        <v>682</v>
      </c>
      <c r="E80" s="621" t="s">
        <v>683</v>
      </c>
      <c r="F80" s="407" t="s">
        <v>684</v>
      </c>
      <c r="G80" s="408" t="s">
        <v>685</v>
      </c>
      <c r="H80" s="408" t="s">
        <v>22</v>
      </c>
      <c r="I80" s="408" t="s">
        <v>28</v>
      </c>
      <c r="J80" s="408" t="s">
        <v>31</v>
      </c>
      <c r="K80" s="408" t="s">
        <v>35</v>
      </c>
      <c r="L80" s="408" t="s">
        <v>35</v>
      </c>
      <c r="M80" s="408" t="s">
        <v>35</v>
      </c>
      <c r="N80" s="595" t="str">
        <f t="shared" ref="N80:N111" si="127">IFERROR(IF(I80="Public",IF(J80="Rural","Yes","No"),IF(J80="","","No")),"")</f>
        <v>Yes</v>
      </c>
      <c r="O80" s="596">
        <v>268</v>
      </c>
      <c r="P80" s="596">
        <v>2104</v>
      </c>
      <c r="Q80" s="597">
        <v>0.12260111411675644</v>
      </c>
      <c r="R80" s="596">
        <f t="shared" si="68"/>
        <v>257.95274410165553</v>
      </c>
      <c r="S80" s="596">
        <f t="shared" si="69"/>
        <v>525.95274410165553</v>
      </c>
      <c r="T80" s="596">
        <f t="shared" ref="T80:T111" si="128">IFERROR(IF(AND(H80="All Others",I80="Public"),S80*Non_TH_Hold_Harmless_Days_Adj,S80),"")</f>
        <v>710.71994310456705</v>
      </c>
      <c r="U80" s="598">
        <f t="shared" si="70"/>
        <v>1.6627457832570056E-4</v>
      </c>
      <c r="V80" s="599">
        <f t="shared" si="80"/>
        <v>0</v>
      </c>
      <c r="W80" s="600">
        <v>1687684.3397509153</v>
      </c>
      <c r="X80" s="600">
        <v>0</v>
      </c>
      <c r="Y80" s="600">
        <v>918715.85186318518</v>
      </c>
      <c r="Z80" s="600">
        <f t="shared" si="71"/>
        <v>0</v>
      </c>
      <c r="AA80" s="600">
        <f t="shared" si="72"/>
        <v>1687684.3397509153</v>
      </c>
      <c r="AB80" s="601">
        <f t="shared" ref="AB80:AB111" si="129">IF(C80="","",IF(H80="Class 1 (TH)",W80/SUMIF(H:H,"Class 1 (TH)",W:W),0))</f>
        <v>0</v>
      </c>
      <c r="AC80" s="599">
        <v>127922.24081237163</v>
      </c>
      <c r="AD80" s="599">
        <f>MAX(IF(M80="Yes",'Assumption Inputs'!$C$40,'Assumption Inputs'!$C$41),AC80)</f>
        <v>6000000</v>
      </c>
      <c r="AE80" s="599">
        <f t="shared" si="81"/>
        <v>1094800.831196419</v>
      </c>
      <c r="AF80" s="599">
        <f t="shared" ref="AF80:AF111" si="130">IFERROR(IF(C80="","",IF(I80="Public",AE80/Federal_Match_Rate*State_Match_Rate,0)),0)</f>
        <v>592883.50855449657</v>
      </c>
      <c r="AG80" s="599">
        <f t="shared" si="82"/>
        <v>0</v>
      </c>
      <c r="AH80" s="599">
        <f t="shared" si="83"/>
        <v>1687684.3397509155</v>
      </c>
      <c r="AI80" s="599">
        <v>3698240.8011519918</v>
      </c>
      <c r="AJ80" s="599">
        <v>3698240.8011519918</v>
      </c>
      <c r="AK80" s="602">
        <f t="shared" si="74"/>
        <v>1</v>
      </c>
      <c r="AL80" s="603">
        <f t="shared" ref="AL80:AL143" si="131">IF(AK80&gt;$AL$3,0,AI80*$AL$3-AJ80)</f>
        <v>0</v>
      </c>
      <c r="AM80" s="600">
        <f t="shared" si="75"/>
        <v>1094800.831196419</v>
      </c>
      <c r="AN80" s="600">
        <f t="shared" ref="AN80:AN111" si="132">IF(L80="","",MAX(MIN(AM80,AA80),0))</f>
        <v>1094800.831196419</v>
      </c>
      <c r="AO80" s="600">
        <f t="shared" ref="AO80:AO143" si="133">IFERROR(AM80-AN80,"")</f>
        <v>0</v>
      </c>
      <c r="AP80" s="600">
        <f t="shared" ref="AP80:AP143" si="134">IFERROR(MAX(AA80-AN80,0),"")</f>
        <v>592883.50855449634</v>
      </c>
      <c r="AQ80" s="600">
        <f t="shared" si="76"/>
        <v>0</v>
      </c>
      <c r="AR80" s="600">
        <f t="shared" si="77"/>
        <v>1094800.831196419</v>
      </c>
      <c r="AS80" s="604">
        <f t="shared" ref="AS80:AS111" si="135">IFERROR(IF(C80="","",IF(I80="Public",AR80/Federal_Match_Rate*State_Match_Rate,0)),0)</f>
        <v>592883.50855449657</v>
      </c>
      <c r="AT80" s="605">
        <f t="shared" ref="AT80:AT111" si="136">IF(C80="","",($AR$7/Federal_Match_Rate*State_Match_Rate)*AB80)</f>
        <v>0</v>
      </c>
      <c r="AU80" s="600">
        <f t="shared" ref="AU80:AU111" si="137">IF(C80="","",AR80+AS80+AT80)</f>
        <v>1687684.3397509155</v>
      </c>
      <c r="AV80" s="600">
        <f t="shared" ref="AV80:AV111" si="138">IF(C80="","",MAX(MIN(AU80,AA80),0))</f>
        <v>1687684.3397509153</v>
      </c>
      <c r="AW80" s="600">
        <f t="shared" ref="AW80:AW111" si="139">IF(C80="","",AU80-AV80)</f>
        <v>2.3283064365386963E-10</v>
      </c>
      <c r="AX80" s="600">
        <f t="shared" ref="AX80:AX111" si="140">IF(C80="","",MAX(AA80-AV80,0))</f>
        <v>0</v>
      </c>
      <c r="AY80" s="600">
        <f t="shared" ref="AY80:AY111" si="141">IF(C80="","",AX80/$AX$9*$AW$9)</f>
        <v>0</v>
      </c>
      <c r="AZ80" s="600">
        <f t="shared" ref="AZ80:AZ111" si="142">IF(C80="","",AV80+AY80)</f>
        <v>1687684.3397509153</v>
      </c>
      <c r="BA80" s="600">
        <f t="shared" ref="BA80:BA111" si="143">IF(C80="","",IF(OR(I80="Public",I80= "State"),(AW80*State_Match_Rate)*-1,0))</f>
        <v>-8.1793405115604388E-11</v>
      </c>
      <c r="BB80" s="600">
        <f t="shared" ref="BB80:BB111" si="144">IF(C80="","",IF(OR(I80="Public",I80= "State"),AY80*State_Match_Rate,0))</f>
        <v>0</v>
      </c>
      <c r="BC80" s="600">
        <f t="shared" ref="BC80:BC111" si="145">IF(C80="","",AB80*$AY$3*State_Match_Rate)</f>
        <v>0</v>
      </c>
      <c r="BD80" s="600">
        <f t="shared" ref="BD80:BD111" si="146">IF(C80="","",AS80+AT80+BB80+BC80+BA80)</f>
        <v>592883.50855449645</v>
      </c>
      <c r="BE80" s="600">
        <f t="shared" ref="BE80:BE111" si="147">IF(C80="","",MAX(AA80-AZ80,0))</f>
        <v>0</v>
      </c>
      <c r="BF80" s="600">
        <f t="shared" ref="BF80:BF111" si="148">IF(C80="","",AZ80-BD80)</f>
        <v>1094800.831196419</v>
      </c>
      <c r="BG80" s="600">
        <v>0</v>
      </c>
      <c r="BH80" s="600">
        <v>0</v>
      </c>
      <c r="BI80" s="600">
        <f t="shared" ref="BI80:BI111" si="149">IF(C80="","",0)</f>
        <v>0</v>
      </c>
      <c r="BJ80" s="600">
        <f t="shared" ref="BJ80:BJ111" si="150">IF(C80="","",ROUND(AZ80-BG80,2))</f>
        <v>1687684.34</v>
      </c>
      <c r="BK80" s="600">
        <f t="shared" ref="BK80:BK111" si="151">IF(C80="","",BJ80*State_Match_Rate)</f>
        <v>592883.50864199991</v>
      </c>
      <c r="BL80" s="600">
        <v>1687684.34</v>
      </c>
      <c r="BM80" s="600">
        <f t="shared" ref="BM80:BM111" si="152">IF(C80="","",IF(AND(I80="Private",BJ80&lt;0),(BJ80*-1)*State_Match_Rate,0))</f>
        <v>0</v>
      </c>
      <c r="BN80" s="600">
        <f t="shared" ref="BN80:BN111" si="153">IF(C80="","",AB80*$BN$3)</f>
        <v>0</v>
      </c>
      <c r="BO80" s="600">
        <f t="shared" ref="BO80:BO111" si="154">IF(C80="","",ROUND((BD80-BH80)+BN80,2))</f>
        <v>592883.51</v>
      </c>
      <c r="BP80" s="600">
        <f t="shared" ref="BP80:BP111" si="155">IF(C80="","",BL80*State_Match_Rate)</f>
        <v>592883.50864199991</v>
      </c>
      <c r="BQ80" s="600">
        <f t="shared" ref="BQ80:BQ111" si="156">IF(C80="","",AB80*$BR$3)</f>
        <v>0</v>
      </c>
      <c r="BR80" s="600">
        <f t="shared" ref="BR80:BR111" si="157">IF(C80="","",ROUND(IF(H80="Class 1 (TH)",BP80+BQ80,IF(AND(I80="Public",H80&lt;&gt;"Class 1 (TH)"),BP80,IF(I80="State",BP80,0))),2))</f>
        <v>592883.51</v>
      </c>
      <c r="BT80" s="606">
        <f t="shared" ref="BT80:BT111" si="158">IF(AND(J80="Rural",I80="Public"),(AJ80+BL80+BG80)/AI80,1)</f>
        <v>1.4563478774757692</v>
      </c>
      <c r="BU80" s="607">
        <f t="shared" ref="BU80:BU111" si="159">IF(AND(I80="Public",J80="Rural"),IF(BT80&gt;$BU$3,0,AI80*$BU$3-(AJ80+BL80+BG80)),0)</f>
        <v>0</v>
      </c>
      <c r="BV80" s="606">
        <f t="shared" ref="BV80:BV111" si="160">IFERROR(IF(AND(J80="Rural",I80="Private"),(AJ80+BL80+BG80)/AI80,1),"")</f>
        <v>1</v>
      </c>
      <c r="BW80" s="607">
        <f t="shared" ref="BW80:BW111" si="161">IF(AND(I80="Private",J80="Rural"),IF(BV80&gt;=$BW$3,0,AI80*$BW$3-(AJ80+BL80+BG80)),0)</f>
        <v>0</v>
      </c>
      <c r="BX80" s="607">
        <f t="shared" ref="BX80:BX111" si="162">IF(C80="","",IF(AND(J80="Rural",I80="Public"),BE80*State_Match_Rate,0))</f>
        <v>0</v>
      </c>
      <c r="BY80" s="607">
        <f t="shared" ref="BY80:BY111" si="163">IF(C80="","",IF(AND(J80="Rural",I80="Public"),BE80,0))</f>
        <v>0</v>
      </c>
      <c r="BZ80" s="607">
        <f t="shared" ref="BZ80:BZ111" si="164">IF(C80="","",BX80/State_Match_Rate)</f>
        <v>0</v>
      </c>
      <c r="CA80" s="607">
        <f t="shared" ref="CA80:CA111" si="165">IFERROR(IF(C80="","",IF(BZ73&lt;Pass_3_Set_Aside,BZ80,ROUND((BZ80/$BZ$9)*(Pass_3_Set_Aside),2))),0)</f>
        <v>0</v>
      </c>
      <c r="CB80" s="607">
        <f t="shared" si="78"/>
        <v>0</v>
      </c>
      <c r="CC80" s="607">
        <f t="shared" ref="CC80:CC111" si="166">IF(C80="","",IF(AND(J80="Rural",I80="Private"),BE80*State_Match_Rate,0))</f>
        <v>0</v>
      </c>
      <c r="CD80" s="607">
        <f t="shared" ref="CD80:CD111" si="167">IF(C80="","",IF(AND(J80="Rural",I80="Private"),BE80,0))</f>
        <v>0</v>
      </c>
      <c r="CE80" s="607">
        <f t="shared" ref="CE80:CE111" si="168">IF(C80="","",CC80/State_Match_Rate)</f>
        <v>0</v>
      </c>
      <c r="CF80" s="607">
        <f t="shared" ref="CF80:CF111" si="169">ROUND((CE80/$CE$9)*((Pass_3_Set_Aside)-$CA$9)*$CF$4*Federal_Match_Rate,2)</f>
        <v>0</v>
      </c>
      <c r="CG80" s="607">
        <f t="shared" ref="CG80:CG111" si="170">($CF$9/Federal_Match_Rate*State_Match_Rate)*AB80</f>
        <v>0</v>
      </c>
      <c r="CH80" s="607">
        <f t="shared" ref="CH80:CH111" si="171">IF(C80="","",CA80+BL80+BG80+CF80+CG80)</f>
        <v>1687684.34</v>
      </c>
      <c r="CI80" s="609"/>
      <c r="CK80" s="610" t="str">
        <f t="shared" si="79"/>
        <v/>
      </c>
      <c r="CL80" s="611" t="str">
        <f>IF(CK80="","",COUNTIFS($CK$16:CK80,"Yes")+MAX(State!AD:AD))</f>
        <v/>
      </c>
      <c r="CM80" s="612" t="b">
        <f>IF(C80="", "", AND(INDEX('Summary Dynamic'!$D$8:$D$10, MATCH(H80, 'Summary Dynamic'!$C$8:$C$10, 0))="Include", INDEX('Summary Dynamic'!$D$12:$D$14, MATCH(I80, 'Summary Dynamic'!$C$12:$C$14, 0))="Include", INDEX('Summary Dynamic'!$D$16:$D$17, MATCH(J80, 'Summary Dynamic'!$C$16:$C$17, 0))="Include", INDEX('Summary Dynamic'!$D$19:$D$20, MATCH(K80, 'Summary Dynamic'!$C$19:$C$20, 0))="Include", INDEX('Summary Dynamic'!$D$25:$D$26, MATCH(L80, 'Summary Dynamic'!$C$25:$C$26, 0))="Include",'Summary Dynamic'!$D$23="Include"))</f>
        <v>1</v>
      </c>
      <c r="CN80" s="613">
        <f>IFERROR(IF(CM80=TRUE, COUNTIFS($CM$16:CM80, TRUE), ""), "")</f>
        <v>65</v>
      </c>
      <c r="CP80" s="614" t="str">
        <f t="shared" ref="CP80:CP111" si="172">IF(H80="Class 1 (TH)","Urban Public Class 1",IF(AND(OR(H80="Class 2", H80="All Others"),I80="Public",J80="Rural"),"Rural Public",IF(AND(OR(H80="Class 2",H80="All Others"),I80="Public",J80="no"),"Non-Rural Public",IF(AND(I80="Private",K80="Yes"),"Children's Hospital",IF(AND(I80="Private",J80="Rural"),"Rural Private",IF(AND(I80="Private",K80="No"),"Non-Rural Private",0))))))</f>
        <v>Rural Public</v>
      </c>
      <c r="CY80" s="615"/>
      <c r="CZ80" s="616"/>
    </row>
    <row r="81" spans="2:104" x14ac:dyDescent="0.25">
      <c r="B81" s="617">
        <f t="shared" ref="B81:B144" si="173">IF(B80&lt;$C$8, B80+1, "")</f>
        <v>66</v>
      </c>
      <c r="C81" s="620" t="s">
        <v>686</v>
      </c>
      <c r="D81" s="621" t="s">
        <v>686</v>
      </c>
      <c r="E81" s="621" t="s">
        <v>687</v>
      </c>
      <c r="F81" s="407" t="s">
        <v>688</v>
      </c>
      <c r="G81" s="408" t="s">
        <v>689</v>
      </c>
      <c r="H81" s="408" t="s">
        <v>22</v>
      </c>
      <c r="I81" s="408" t="s">
        <v>28</v>
      </c>
      <c r="J81" s="408" t="s">
        <v>31</v>
      </c>
      <c r="K81" s="408" t="s">
        <v>35</v>
      </c>
      <c r="L81" s="408" t="s">
        <v>35</v>
      </c>
      <c r="M81" s="408" t="s">
        <v>35</v>
      </c>
      <c r="N81" s="595" t="str">
        <f t="shared" si="127"/>
        <v>Yes</v>
      </c>
      <c r="O81" s="596">
        <v>1295</v>
      </c>
      <c r="P81" s="596">
        <v>9817</v>
      </c>
      <c r="Q81" s="597">
        <v>0.30274757391985641</v>
      </c>
      <c r="R81" s="596">
        <f t="shared" ref="R81:R144" si="174">IFERROR(P81*Q81,"")</f>
        <v>2972.0729331712305</v>
      </c>
      <c r="S81" s="596">
        <f t="shared" ref="S81:S144" si="175">IFERROR(O81+R81,"")</f>
        <v>4267.07293317123</v>
      </c>
      <c r="T81" s="596">
        <f t="shared" si="128"/>
        <v>5766.0956545942827</v>
      </c>
      <c r="U81" s="598">
        <f t="shared" ref="U81:U144" si="176">IFERROR(T81/$T$9,"")</f>
        <v>1.3489914457237324E-3</v>
      </c>
      <c r="V81" s="599">
        <f t="shared" si="80"/>
        <v>0</v>
      </c>
      <c r="W81" s="600">
        <v>7116849.4041875228</v>
      </c>
      <c r="X81" s="600">
        <v>0</v>
      </c>
      <c r="Y81" s="600">
        <v>2359282.6685533728</v>
      </c>
      <c r="Z81" s="600">
        <f t="shared" ref="Z81:Z144" si="177">IFERROR(IF(X81-Y81&gt;0,X81-Y81,0),"")</f>
        <v>0</v>
      </c>
      <c r="AA81" s="600">
        <f t="shared" ref="AA81:AA144" si="178">IFERROR(W81-Z81,"")</f>
        <v>7116849.4041875228</v>
      </c>
      <c r="AB81" s="601">
        <f t="shared" si="129"/>
        <v>0</v>
      </c>
      <c r="AC81" s="599">
        <v>926996.2381721352</v>
      </c>
      <c r="AD81" s="599">
        <f>MAX(IF(M81="Yes",'Assumption Inputs'!$C$40,'Assumption Inputs'!$C$41),AC81)</f>
        <v>6000000</v>
      </c>
      <c r="AE81" s="599">
        <f t="shared" si="81"/>
        <v>4616700.2084964467</v>
      </c>
      <c r="AF81" s="599">
        <f t="shared" si="130"/>
        <v>2500149.1956910766</v>
      </c>
      <c r="AG81" s="599">
        <f t="shared" si="82"/>
        <v>0</v>
      </c>
      <c r="AH81" s="599">
        <f t="shared" si="83"/>
        <v>7116849.4041875228</v>
      </c>
      <c r="AI81" s="599">
        <v>15113391.68225259</v>
      </c>
      <c r="AJ81" s="599">
        <v>15113391.68225259</v>
      </c>
      <c r="AK81" s="602">
        <f t="shared" ref="AK81:AK144" si="179">IFERROR(AJ81/AI81,"")</f>
        <v>1</v>
      </c>
      <c r="AL81" s="603">
        <f t="shared" si="131"/>
        <v>0</v>
      </c>
      <c r="AM81" s="600">
        <f t="shared" ref="AM81:AM144" si="180">IFERROR(AL81+$V81+AE81,"")</f>
        <v>4616700.2084964467</v>
      </c>
      <c r="AN81" s="600">
        <f t="shared" si="132"/>
        <v>4616700.2084964467</v>
      </c>
      <c r="AO81" s="600">
        <f t="shared" si="133"/>
        <v>0</v>
      </c>
      <c r="AP81" s="600">
        <f t="shared" si="134"/>
        <v>2500149.1956910761</v>
      </c>
      <c r="AQ81" s="600">
        <f t="shared" ref="AQ81:AQ144" si="181">IFERROR(AP81/$AP$9*$AO$9,"")</f>
        <v>0</v>
      </c>
      <c r="AR81" s="600">
        <f t="shared" ref="AR81:AR144" si="182">IFERROR(AN81+AQ81,"")</f>
        <v>4616700.2084964467</v>
      </c>
      <c r="AS81" s="604">
        <f t="shared" si="135"/>
        <v>2500149.1956910766</v>
      </c>
      <c r="AT81" s="605">
        <f t="shared" si="136"/>
        <v>0</v>
      </c>
      <c r="AU81" s="600">
        <f t="shared" si="137"/>
        <v>7116849.4041875228</v>
      </c>
      <c r="AV81" s="600">
        <f t="shared" si="138"/>
        <v>7116849.4041875228</v>
      </c>
      <c r="AW81" s="600">
        <f t="shared" si="139"/>
        <v>0</v>
      </c>
      <c r="AX81" s="600">
        <f t="shared" si="140"/>
        <v>0</v>
      </c>
      <c r="AY81" s="600">
        <f t="shared" si="141"/>
        <v>0</v>
      </c>
      <c r="AZ81" s="600">
        <f t="shared" si="142"/>
        <v>7116849.4041875228</v>
      </c>
      <c r="BA81" s="600">
        <f t="shared" si="143"/>
        <v>0</v>
      </c>
      <c r="BB81" s="600">
        <f t="shared" si="144"/>
        <v>0</v>
      </c>
      <c r="BC81" s="600">
        <f t="shared" si="145"/>
        <v>0</v>
      </c>
      <c r="BD81" s="600">
        <f t="shared" si="146"/>
        <v>2500149.1956910766</v>
      </c>
      <c r="BE81" s="600">
        <f t="shared" si="147"/>
        <v>0</v>
      </c>
      <c r="BF81" s="600">
        <f t="shared" si="148"/>
        <v>4616700.2084964458</v>
      </c>
      <c r="BG81" s="600">
        <v>0</v>
      </c>
      <c r="BH81" s="600">
        <v>0</v>
      </c>
      <c r="BI81" s="600">
        <f t="shared" si="149"/>
        <v>0</v>
      </c>
      <c r="BJ81" s="600">
        <f t="shared" si="150"/>
        <v>7116849.4000000004</v>
      </c>
      <c r="BK81" s="600">
        <f t="shared" si="151"/>
        <v>2500149.1942199999</v>
      </c>
      <c r="BL81" s="600">
        <v>7116849.4000000004</v>
      </c>
      <c r="BM81" s="600">
        <f t="shared" si="152"/>
        <v>0</v>
      </c>
      <c r="BN81" s="600">
        <f t="shared" si="153"/>
        <v>0</v>
      </c>
      <c r="BO81" s="600">
        <f t="shared" si="154"/>
        <v>2500149.2000000002</v>
      </c>
      <c r="BP81" s="600">
        <f t="shared" si="155"/>
        <v>2500149.1942199999</v>
      </c>
      <c r="BQ81" s="600">
        <f t="shared" si="156"/>
        <v>0</v>
      </c>
      <c r="BR81" s="600">
        <f t="shared" si="157"/>
        <v>2500149.19</v>
      </c>
      <c r="BT81" s="606">
        <f t="shared" si="158"/>
        <v>1.4708969071685745</v>
      </c>
      <c r="BU81" s="607">
        <f t="shared" si="159"/>
        <v>0</v>
      </c>
      <c r="BV81" s="606">
        <f t="shared" si="160"/>
        <v>1</v>
      </c>
      <c r="BW81" s="607">
        <f t="shared" si="161"/>
        <v>0</v>
      </c>
      <c r="BX81" s="607">
        <f t="shared" si="162"/>
        <v>0</v>
      </c>
      <c r="BY81" s="607">
        <f t="shared" si="163"/>
        <v>0</v>
      </c>
      <c r="BZ81" s="607">
        <f t="shared" si="164"/>
        <v>0</v>
      </c>
      <c r="CA81" s="607">
        <f t="shared" si="165"/>
        <v>0</v>
      </c>
      <c r="CB81" s="607">
        <f t="shared" ref="CB81:CB144" si="183">BX81</f>
        <v>0</v>
      </c>
      <c r="CC81" s="607">
        <f t="shared" si="166"/>
        <v>0</v>
      </c>
      <c r="CD81" s="607">
        <f t="shared" si="167"/>
        <v>0</v>
      </c>
      <c r="CE81" s="607">
        <f t="shared" si="168"/>
        <v>0</v>
      </c>
      <c r="CF81" s="607">
        <f t="shared" si="169"/>
        <v>0</v>
      </c>
      <c r="CG81" s="607">
        <f t="shared" si="170"/>
        <v>0</v>
      </c>
      <c r="CH81" s="607">
        <f t="shared" si="171"/>
        <v>7116849.4000000004</v>
      </c>
      <c r="CI81" s="609"/>
      <c r="CK81" s="610" t="str">
        <f t="shared" ref="CK81:CK144" si="184">IF(BJ81&lt;0, "Yes", "")</f>
        <v/>
      </c>
      <c r="CL81" s="611" t="str">
        <f>IF(CK81="","",COUNTIFS($CK$16:CK81,"Yes")+MAX(State!AD:AD))</f>
        <v/>
      </c>
      <c r="CM81" s="612" t="b">
        <f>IF(C81="", "", AND(INDEX('Summary Dynamic'!$D$8:$D$10, MATCH(H81, 'Summary Dynamic'!$C$8:$C$10, 0))="Include", INDEX('Summary Dynamic'!$D$12:$D$14, MATCH(I81, 'Summary Dynamic'!$C$12:$C$14, 0))="Include", INDEX('Summary Dynamic'!$D$16:$D$17, MATCH(J81, 'Summary Dynamic'!$C$16:$C$17, 0))="Include", INDEX('Summary Dynamic'!$D$19:$D$20, MATCH(K81, 'Summary Dynamic'!$C$19:$C$20, 0))="Include", INDEX('Summary Dynamic'!$D$25:$D$26, MATCH(L81, 'Summary Dynamic'!$C$25:$C$26, 0))="Include",'Summary Dynamic'!$D$23="Include"))</f>
        <v>1</v>
      </c>
      <c r="CN81" s="613">
        <f>IFERROR(IF(CM81=TRUE, COUNTIFS($CM$16:CM81, TRUE), ""), "")</f>
        <v>66</v>
      </c>
      <c r="CP81" s="614" t="str">
        <f t="shared" si="172"/>
        <v>Rural Public</v>
      </c>
      <c r="CY81" s="615"/>
      <c r="CZ81" s="616"/>
    </row>
    <row r="82" spans="2:104" x14ac:dyDescent="0.25">
      <c r="B82" s="617">
        <f t="shared" si="173"/>
        <v>67</v>
      </c>
      <c r="C82" s="620" t="s">
        <v>690</v>
      </c>
      <c r="D82" s="621" t="s">
        <v>690</v>
      </c>
      <c r="E82" s="621" t="s">
        <v>63</v>
      </c>
      <c r="F82" s="407" t="s">
        <v>691</v>
      </c>
      <c r="G82" s="408" t="s">
        <v>673</v>
      </c>
      <c r="H82" s="408" t="s">
        <v>22</v>
      </c>
      <c r="I82" s="408" t="s">
        <v>26</v>
      </c>
      <c r="J82" s="408" t="s">
        <v>31</v>
      </c>
      <c r="K82" s="408" t="s">
        <v>35</v>
      </c>
      <c r="L82" s="408" t="s">
        <v>35</v>
      </c>
      <c r="M82" s="408" t="s">
        <v>35</v>
      </c>
      <c r="N82" s="595" t="str">
        <f t="shared" si="127"/>
        <v>No</v>
      </c>
      <c r="O82" s="596">
        <v>2673</v>
      </c>
      <c r="P82" s="596">
        <v>23830</v>
      </c>
      <c r="Q82" s="597">
        <v>6.5992603604808492E-3</v>
      </c>
      <c r="R82" s="596">
        <f t="shared" si="174"/>
        <v>157.26037439025865</v>
      </c>
      <c r="S82" s="596">
        <f t="shared" si="175"/>
        <v>2830.2603743902587</v>
      </c>
      <c r="T82" s="596">
        <f t="shared" si="128"/>
        <v>2830.2603743902587</v>
      </c>
      <c r="U82" s="598">
        <f t="shared" si="176"/>
        <v>6.6214597587905448E-4</v>
      </c>
      <c r="V82" s="599">
        <f t="shared" ref="V82:V145" si="185">IFERROR(U82*Total_State_GR_Commitment,"")</f>
        <v>0</v>
      </c>
      <c r="W82" s="600">
        <v>8632378.791952258</v>
      </c>
      <c r="X82" s="600">
        <v>0</v>
      </c>
      <c r="Y82" s="600">
        <v>4857796.8612763789</v>
      </c>
      <c r="Z82" s="600">
        <f t="shared" si="177"/>
        <v>0</v>
      </c>
      <c r="AA82" s="600">
        <f t="shared" si="178"/>
        <v>8632378.791952258</v>
      </c>
      <c r="AB82" s="601">
        <f t="shared" si="129"/>
        <v>0</v>
      </c>
      <c r="AC82" s="599">
        <v>0</v>
      </c>
      <c r="AD82" s="599">
        <f>MAX(IF(M82="Yes",'Assumption Inputs'!$C$40,'Assumption Inputs'!$C$41),AC82)</f>
        <v>6000000</v>
      </c>
      <c r="AE82" s="599">
        <f t="shared" ref="AE82:AE145" si="186">IF(AD82&gt;AA82/(1+State_Match_Rate/Federal_Match_Rate),AA82/(1+State_Match_Rate/Federal_Match_Rate),AD82)</f>
        <v>5599824.1223394303</v>
      </c>
      <c r="AF82" s="599">
        <f t="shared" si="130"/>
        <v>0</v>
      </c>
      <c r="AG82" s="599">
        <f t="shared" ref="AG82:AG145" si="187">($AE$7*State_Match_Rate/Federal_Match_Rate)*AB82</f>
        <v>0</v>
      </c>
      <c r="AH82" s="599">
        <f t="shared" ref="AH82:AH145" si="188">SUM(AE82:AF82)</f>
        <v>5599824.1223394303</v>
      </c>
      <c r="AI82" s="599">
        <v>17914609.556770235</v>
      </c>
      <c r="AJ82" s="599">
        <v>14882054.887157407</v>
      </c>
      <c r="AK82" s="602">
        <f t="shared" si="179"/>
        <v>0.83072169895733095</v>
      </c>
      <c r="AL82" s="603">
        <f t="shared" si="131"/>
        <v>0</v>
      </c>
      <c r="AM82" s="600">
        <f t="shared" si="180"/>
        <v>5599824.1223394303</v>
      </c>
      <c r="AN82" s="600">
        <f t="shared" si="132"/>
        <v>5599824.1223394303</v>
      </c>
      <c r="AO82" s="600">
        <f t="shared" si="133"/>
        <v>0</v>
      </c>
      <c r="AP82" s="600">
        <f t="shared" si="134"/>
        <v>3032554.6696128277</v>
      </c>
      <c r="AQ82" s="600">
        <f t="shared" si="181"/>
        <v>0</v>
      </c>
      <c r="AR82" s="600">
        <f t="shared" si="182"/>
        <v>5599824.1223394303</v>
      </c>
      <c r="AS82" s="604">
        <f t="shared" si="135"/>
        <v>0</v>
      </c>
      <c r="AT82" s="605">
        <f t="shared" si="136"/>
        <v>0</v>
      </c>
      <c r="AU82" s="600">
        <f t="shared" si="137"/>
        <v>5599824.1223394303</v>
      </c>
      <c r="AV82" s="600">
        <f t="shared" si="138"/>
        <v>5599824.1223394303</v>
      </c>
      <c r="AW82" s="600">
        <f t="shared" si="139"/>
        <v>0</v>
      </c>
      <c r="AX82" s="600">
        <f t="shared" si="140"/>
        <v>3032554.6696128277</v>
      </c>
      <c r="AY82" s="600">
        <f t="shared" si="141"/>
        <v>5.966700492187418E-12</v>
      </c>
      <c r="AZ82" s="600">
        <f t="shared" si="142"/>
        <v>5599824.1223394303</v>
      </c>
      <c r="BA82" s="600">
        <f t="shared" si="143"/>
        <v>0</v>
      </c>
      <c r="BB82" s="600">
        <f t="shared" si="144"/>
        <v>0</v>
      </c>
      <c r="BC82" s="600">
        <f t="shared" si="145"/>
        <v>0</v>
      </c>
      <c r="BD82" s="600">
        <f t="shared" si="146"/>
        <v>0</v>
      </c>
      <c r="BE82" s="600">
        <f t="shared" si="147"/>
        <v>3032554.6696128277</v>
      </c>
      <c r="BF82" s="600">
        <f t="shared" si="148"/>
        <v>5599824.1223394303</v>
      </c>
      <c r="BG82" s="600">
        <v>0</v>
      </c>
      <c r="BH82" s="600">
        <v>0</v>
      </c>
      <c r="BI82" s="600">
        <f t="shared" si="149"/>
        <v>0</v>
      </c>
      <c r="BJ82" s="600">
        <f t="shared" si="150"/>
        <v>5599824.1200000001</v>
      </c>
      <c r="BK82" s="600">
        <f t="shared" si="151"/>
        <v>1967218.2133559997</v>
      </c>
      <c r="BL82" s="600">
        <v>5599824.1200000001</v>
      </c>
      <c r="BM82" s="600">
        <f t="shared" si="152"/>
        <v>0</v>
      </c>
      <c r="BN82" s="600">
        <f t="shared" si="153"/>
        <v>0</v>
      </c>
      <c r="BO82" s="600">
        <f t="shared" si="154"/>
        <v>0</v>
      </c>
      <c r="BP82" s="600">
        <f t="shared" si="155"/>
        <v>1967218.2133559997</v>
      </c>
      <c r="BQ82" s="600">
        <f t="shared" si="156"/>
        <v>0</v>
      </c>
      <c r="BR82" s="600">
        <f t="shared" si="157"/>
        <v>0</v>
      </c>
      <c r="BT82" s="606">
        <f t="shared" si="158"/>
        <v>1</v>
      </c>
      <c r="BU82" s="607">
        <f t="shared" si="159"/>
        <v>0</v>
      </c>
      <c r="BV82" s="606">
        <f t="shared" si="160"/>
        <v>1.1433059114267414</v>
      </c>
      <c r="BW82" s="607">
        <f t="shared" si="161"/>
        <v>0</v>
      </c>
      <c r="BX82" s="607">
        <f t="shared" si="162"/>
        <v>0</v>
      </c>
      <c r="BY82" s="607">
        <f t="shared" si="163"/>
        <v>0</v>
      </c>
      <c r="BZ82" s="607">
        <f t="shared" si="164"/>
        <v>0</v>
      </c>
      <c r="CA82" s="607">
        <f t="shared" si="165"/>
        <v>0</v>
      </c>
      <c r="CB82" s="607">
        <f t="shared" si="183"/>
        <v>0</v>
      </c>
      <c r="CC82" s="607">
        <f t="shared" si="166"/>
        <v>1065336.4554349862</v>
      </c>
      <c r="CD82" s="607">
        <f t="shared" si="167"/>
        <v>3032554.6696128277</v>
      </c>
      <c r="CE82" s="607">
        <f t="shared" si="168"/>
        <v>3032554.6696128277</v>
      </c>
      <c r="CF82" s="607">
        <f t="shared" si="169"/>
        <v>1461609.38</v>
      </c>
      <c r="CG82" s="607">
        <f t="shared" si="170"/>
        <v>0</v>
      </c>
      <c r="CH82" s="607">
        <f t="shared" si="171"/>
        <v>7061433.5</v>
      </c>
      <c r="CI82" s="609"/>
      <c r="CK82" s="610" t="str">
        <f t="shared" si="184"/>
        <v/>
      </c>
      <c r="CL82" s="611" t="str">
        <f>IF(CK82="","",COUNTIFS($CK$16:CK82,"Yes")+MAX(State!AD:AD))</f>
        <v/>
      </c>
      <c r="CM82" s="612" t="b">
        <f>IF(C82="", "", AND(INDEX('Summary Dynamic'!$D$8:$D$10, MATCH(H82, 'Summary Dynamic'!$C$8:$C$10, 0))="Include", INDEX('Summary Dynamic'!$D$12:$D$14, MATCH(I82, 'Summary Dynamic'!$C$12:$C$14, 0))="Include", INDEX('Summary Dynamic'!$D$16:$D$17, MATCH(J82, 'Summary Dynamic'!$C$16:$C$17, 0))="Include", INDEX('Summary Dynamic'!$D$19:$D$20, MATCH(K82, 'Summary Dynamic'!$C$19:$C$20, 0))="Include", INDEX('Summary Dynamic'!$D$25:$D$26, MATCH(L82, 'Summary Dynamic'!$C$25:$C$26, 0))="Include",'Summary Dynamic'!$D$23="Include"))</f>
        <v>1</v>
      </c>
      <c r="CN82" s="613">
        <f>IFERROR(IF(CM82=TRUE, COUNTIFS($CM$16:CM82, TRUE), ""), "")</f>
        <v>67</v>
      </c>
      <c r="CP82" s="614" t="str">
        <f t="shared" si="172"/>
        <v>Rural Private</v>
      </c>
      <c r="CY82" s="615"/>
      <c r="CZ82" s="616"/>
    </row>
    <row r="83" spans="2:104" x14ac:dyDescent="0.25">
      <c r="B83" s="617">
        <f t="shared" si="173"/>
        <v>68</v>
      </c>
      <c r="C83" s="593" t="s">
        <v>692</v>
      </c>
      <c r="D83" s="594" t="s">
        <v>692</v>
      </c>
      <c r="E83" s="594" t="s">
        <v>693</v>
      </c>
      <c r="F83" s="407" t="s">
        <v>694</v>
      </c>
      <c r="G83" s="408" t="s">
        <v>612</v>
      </c>
      <c r="H83" s="408" t="s">
        <v>22</v>
      </c>
      <c r="I83" s="408" t="s">
        <v>28</v>
      </c>
      <c r="J83" s="408" t="s">
        <v>35</v>
      </c>
      <c r="K83" s="408" t="s">
        <v>35</v>
      </c>
      <c r="L83" s="408" t="s">
        <v>35</v>
      </c>
      <c r="M83" s="408" t="s">
        <v>37</v>
      </c>
      <c r="N83" s="595" t="str">
        <f t="shared" si="127"/>
        <v>No</v>
      </c>
      <c r="O83" s="596">
        <v>8127</v>
      </c>
      <c r="P83" s="596">
        <v>48169</v>
      </c>
      <c r="Q83" s="597">
        <v>0.13707679081548552</v>
      </c>
      <c r="R83" s="596">
        <f t="shared" si="174"/>
        <v>6602.8519367911222</v>
      </c>
      <c r="S83" s="596">
        <f t="shared" si="175"/>
        <v>14729.851936791121</v>
      </c>
      <c r="T83" s="596">
        <f t="shared" si="128"/>
        <v>19904.448922185842</v>
      </c>
      <c r="U83" s="598">
        <f t="shared" si="176"/>
        <v>4.6566919691107631E-3</v>
      </c>
      <c r="V83" s="599">
        <f t="shared" si="185"/>
        <v>0</v>
      </c>
      <c r="W83" s="600">
        <v>21821797.01351089</v>
      </c>
      <c r="X83" s="600">
        <v>0</v>
      </c>
      <c r="Y83" s="600">
        <v>0</v>
      </c>
      <c r="Z83" s="600">
        <f t="shared" si="177"/>
        <v>0</v>
      </c>
      <c r="AA83" s="600">
        <f t="shared" si="178"/>
        <v>21821797.01351089</v>
      </c>
      <c r="AB83" s="601">
        <f t="shared" si="129"/>
        <v>0</v>
      </c>
      <c r="AC83" s="599">
        <v>768181.85050524131</v>
      </c>
      <c r="AD83" s="599">
        <f>MAX(IF(M83="Yes",'Assumption Inputs'!$C$40,'Assumption Inputs'!$C$41),AC83)</f>
        <v>8000000</v>
      </c>
      <c r="AE83" s="599">
        <f t="shared" si="186"/>
        <v>8000000</v>
      </c>
      <c r="AF83" s="599">
        <f t="shared" si="130"/>
        <v>4332357.0217357781</v>
      </c>
      <c r="AG83" s="599">
        <f t="shared" si="187"/>
        <v>0</v>
      </c>
      <c r="AH83" s="599">
        <f t="shared" si="188"/>
        <v>12332357.021735778</v>
      </c>
      <c r="AI83" s="599">
        <v>44224837.018510796</v>
      </c>
      <c r="AJ83" s="599">
        <v>34735397.026735693</v>
      </c>
      <c r="AK83" s="602">
        <f t="shared" si="179"/>
        <v>0.7854273609238358</v>
      </c>
      <c r="AL83" s="603">
        <f t="shared" si="131"/>
        <v>0</v>
      </c>
      <c r="AM83" s="600">
        <f t="shared" si="180"/>
        <v>8000000</v>
      </c>
      <c r="AN83" s="600">
        <f t="shared" si="132"/>
        <v>8000000</v>
      </c>
      <c r="AO83" s="600">
        <f t="shared" si="133"/>
        <v>0</v>
      </c>
      <c r="AP83" s="600">
        <f t="shared" si="134"/>
        <v>13821797.01351089</v>
      </c>
      <c r="AQ83" s="600">
        <f t="shared" si="181"/>
        <v>0</v>
      </c>
      <c r="AR83" s="600">
        <f t="shared" si="182"/>
        <v>8000000</v>
      </c>
      <c r="AS83" s="604">
        <f t="shared" si="135"/>
        <v>4332357.0217357781</v>
      </c>
      <c r="AT83" s="605">
        <f t="shared" si="136"/>
        <v>0</v>
      </c>
      <c r="AU83" s="600">
        <f t="shared" si="137"/>
        <v>12332357.021735778</v>
      </c>
      <c r="AV83" s="600">
        <f t="shared" si="138"/>
        <v>12332357.021735778</v>
      </c>
      <c r="AW83" s="600">
        <f t="shared" si="139"/>
        <v>0</v>
      </c>
      <c r="AX83" s="600">
        <f t="shared" si="140"/>
        <v>9489439.9917751122</v>
      </c>
      <c r="AY83" s="600">
        <f t="shared" si="141"/>
        <v>1.86709399955307E-11</v>
      </c>
      <c r="AZ83" s="600">
        <f t="shared" si="142"/>
        <v>12332357.021735778</v>
      </c>
      <c r="BA83" s="600">
        <f t="shared" si="143"/>
        <v>0</v>
      </c>
      <c r="BB83" s="600">
        <f t="shared" si="144"/>
        <v>6.5591012204299338E-12</v>
      </c>
      <c r="BC83" s="600">
        <f t="shared" si="145"/>
        <v>0</v>
      </c>
      <c r="BD83" s="600">
        <f t="shared" si="146"/>
        <v>4332357.0217357781</v>
      </c>
      <c r="BE83" s="600">
        <f t="shared" si="147"/>
        <v>9489439.9917751122</v>
      </c>
      <c r="BF83" s="600">
        <f t="shared" si="148"/>
        <v>8000000</v>
      </c>
      <c r="BG83" s="600">
        <v>0</v>
      </c>
      <c r="BH83" s="600">
        <v>0</v>
      </c>
      <c r="BI83" s="600">
        <f t="shared" si="149"/>
        <v>0</v>
      </c>
      <c r="BJ83" s="600">
        <f t="shared" si="150"/>
        <v>12332357.02</v>
      </c>
      <c r="BK83" s="600">
        <f t="shared" si="151"/>
        <v>4332357.0211259993</v>
      </c>
      <c r="BL83" s="600">
        <v>12332357.02</v>
      </c>
      <c r="BM83" s="600">
        <f t="shared" si="152"/>
        <v>0</v>
      </c>
      <c r="BN83" s="600">
        <f t="shared" si="153"/>
        <v>0</v>
      </c>
      <c r="BO83" s="600">
        <f t="shared" si="154"/>
        <v>4332357.0199999996</v>
      </c>
      <c r="BP83" s="600">
        <f t="shared" si="155"/>
        <v>4332357.0211259993</v>
      </c>
      <c r="BQ83" s="600">
        <f t="shared" si="156"/>
        <v>0</v>
      </c>
      <c r="BR83" s="600">
        <f t="shared" si="157"/>
        <v>4332357.0199999996</v>
      </c>
      <c r="BT83" s="606">
        <f t="shared" si="158"/>
        <v>1</v>
      </c>
      <c r="BU83" s="607">
        <f t="shared" si="159"/>
        <v>0</v>
      </c>
      <c r="BV83" s="606">
        <f t="shared" si="160"/>
        <v>1</v>
      </c>
      <c r="BW83" s="607">
        <f t="shared" si="161"/>
        <v>0</v>
      </c>
      <c r="BX83" s="607">
        <f t="shared" si="162"/>
        <v>0</v>
      </c>
      <c r="BY83" s="607">
        <f t="shared" si="163"/>
        <v>0</v>
      </c>
      <c r="BZ83" s="607">
        <f t="shared" si="164"/>
        <v>0</v>
      </c>
      <c r="CA83" s="607">
        <f t="shared" si="165"/>
        <v>0</v>
      </c>
      <c r="CB83" s="607">
        <f t="shared" si="183"/>
        <v>0</v>
      </c>
      <c r="CC83" s="607">
        <f t="shared" si="166"/>
        <v>0</v>
      </c>
      <c r="CD83" s="607">
        <f t="shared" si="167"/>
        <v>0</v>
      </c>
      <c r="CE83" s="607">
        <f t="shared" si="168"/>
        <v>0</v>
      </c>
      <c r="CF83" s="607">
        <f t="shared" si="169"/>
        <v>0</v>
      </c>
      <c r="CG83" s="607">
        <f t="shared" si="170"/>
        <v>0</v>
      </c>
      <c r="CH83" s="607">
        <f t="shared" si="171"/>
        <v>12332357.02</v>
      </c>
      <c r="CI83" s="609"/>
      <c r="CK83" s="610" t="str">
        <f t="shared" si="184"/>
        <v/>
      </c>
      <c r="CL83" s="611" t="str">
        <f>IF(CK83="","",COUNTIFS($CK$16:CK83,"Yes")+MAX(State!AD:AD))</f>
        <v/>
      </c>
      <c r="CM83" s="612" t="b">
        <f>IF(C83="", "", AND(INDEX('Summary Dynamic'!$D$8:$D$10, MATCH(H83, 'Summary Dynamic'!$C$8:$C$10, 0))="Include", INDEX('Summary Dynamic'!$D$12:$D$14, MATCH(I83, 'Summary Dynamic'!$C$12:$C$14, 0))="Include", INDEX('Summary Dynamic'!$D$16:$D$17, MATCH(J83, 'Summary Dynamic'!$C$16:$C$17, 0))="Include", INDEX('Summary Dynamic'!$D$19:$D$20, MATCH(K83, 'Summary Dynamic'!$C$19:$C$20, 0))="Include", INDEX('Summary Dynamic'!$D$25:$D$26, MATCH(L83, 'Summary Dynamic'!$C$25:$C$26, 0))="Include",'Summary Dynamic'!$D$23="Include"))</f>
        <v>1</v>
      </c>
      <c r="CN83" s="613">
        <f>IFERROR(IF(CM83=TRUE, COUNTIFS($CM$16:CM83, TRUE), ""), "")</f>
        <v>68</v>
      </c>
      <c r="CP83" s="614" t="str">
        <f t="shared" si="172"/>
        <v>Non-Rural Public</v>
      </c>
      <c r="CY83" s="615"/>
      <c r="CZ83" s="616"/>
    </row>
    <row r="84" spans="2:104" x14ac:dyDescent="0.25">
      <c r="B84" s="617">
        <f t="shared" si="173"/>
        <v>69</v>
      </c>
      <c r="C84" s="593" t="s">
        <v>695</v>
      </c>
      <c r="D84" s="594" t="s">
        <v>695</v>
      </c>
      <c r="E84" s="594" t="s">
        <v>696</v>
      </c>
      <c r="F84" s="407" t="s">
        <v>697</v>
      </c>
      <c r="G84" s="408" t="s">
        <v>698</v>
      </c>
      <c r="H84" s="408" t="s">
        <v>22</v>
      </c>
      <c r="I84" s="408" t="s">
        <v>28</v>
      </c>
      <c r="J84" s="408" t="s">
        <v>31</v>
      </c>
      <c r="K84" s="408" t="s">
        <v>35</v>
      </c>
      <c r="L84" s="408" t="s">
        <v>35</v>
      </c>
      <c r="M84" s="408" t="s">
        <v>35</v>
      </c>
      <c r="N84" s="595" t="str">
        <f t="shared" si="127"/>
        <v>Yes</v>
      </c>
      <c r="O84" s="596">
        <v>832</v>
      </c>
      <c r="P84" s="596">
        <v>4978</v>
      </c>
      <c r="Q84" s="597">
        <v>0.16689035958701606</v>
      </c>
      <c r="R84" s="596">
        <f t="shared" si="174"/>
        <v>830.78021002416597</v>
      </c>
      <c r="S84" s="596">
        <f t="shared" si="175"/>
        <v>1662.7802100241661</v>
      </c>
      <c r="T84" s="596">
        <f t="shared" si="128"/>
        <v>2246.9148978056555</v>
      </c>
      <c r="U84" s="598">
        <f t="shared" si="176"/>
        <v>5.2567094928332708E-4</v>
      </c>
      <c r="V84" s="599">
        <f t="shared" si="185"/>
        <v>0</v>
      </c>
      <c r="W84" s="600">
        <v>4661089.6329454584</v>
      </c>
      <c r="X84" s="600">
        <v>0</v>
      </c>
      <c r="Y84" s="600">
        <v>492286.84545557946</v>
      </c>
      <c r="Z84" s="600">
        <f t="shared" si="177"/>
        <v>0</v>
      </c>
      <c r="AA84" s="600">
        <f t="shared" si="178"/>
        <v>4661089.6329454584</v>
      </c>
      <c r="AB84" s="601">
        <f t="shared" si="129"/>
        <v>0</v>
      </c>
      <c r="AC84" s="599">
        <v>1113121.501987583</v>
      </c>
      <c r="AD84" s="599">
        <f>MAX(IF(M84="Yes",'Assumption Inputs'!$C$40,'Assumption Inputs'!$C$41),AC84)</f>
        <v>6000000</v>
      </c>
      <c r="AE84" s="599">
        <f t="shared" si="186"/>
        <v>3023648.8448917191</v>
      </c>
      <c r="AF84" s="599">
        <f t="shared" si="130"/>
        <v>1637440.7880537394</v>
      </c>
      <c r="AG84" s="599">
        <f t="shared" si="187"/>
        <v>0</v>
      </c>
      <c r="AH84" s="599">
        <f t="shared" si="188"/>
        <v>4661089.6329454584</v>
      </c>
      <c r="AI84" s="599">
        <v>8428080.0389773101</v>
      </c>
      <c r="AJ84" s="599">
        <v>8428080.0389773082</v>
      </c>
      <c r="AK84" s="602">
        <f t="shared" si="179"/>
        <v>0.99999999999999978</v>
      </c>
      <c r="AL84" s="603">
        <f t="shared" si="131"/>
        <v>0</v>
      </c>
      <c r="AM84" s="600">
        <f t="shared" si="180"/>
        <v>3023648.8448917191</v>
      </c>
      <c r="AN84" s="600">
        <f t="shared" si="132"/>
        <v>3023648.8448917191</v>
      </c>
      <c r="AO84" s="600">
        <f t="shared" si="133"/>
        <v>0</v>
      </c>
      <c r="AP84" s="600">
        <f t="shared" si="134"/>
        <v>1637440.7880537394</v>
      </c>
      <c r="AQ84" s="600">
        <f t="shared" si="181"/>
        <v>0</v>
      </c>
      <c r="AR84" s="600">
        <f t="shared" si="182"/>
        <v>3023648.8448917191</v>
      </c>
      <c r="AS84" s="604">
        <f t="shared" si="135"/>
        <v>1637440.7880537394</v>
      </c>
      <c r="AT84" s="605">
        <f t="shared" si="136"/>
        <v>0</v>
      </c>
      <c r="AU84" s="600">
        <f t="shared" si="137"/>
        <v>4661089.6329454584</v>
      </c>
      <c r="AV84" s="600">
        <f t="shared" si="138"/>
        <v>4661089.6329454584</v>
      </c>
      <c r="AW84" s="600">
        <f t="shared" si="139"/>
        <v>0</v>
      </c>
      <c r="AX84" s="600">
        <f t="shared" si="140"/>
        <v>0</v>
      </c>
      <c r="AY84" s="600">
        <f t="shared" si="141"/>
        <v>0</v>
      </c>
      <c r="AZ84" s="600">
        <f t="shared" si="142"/>
        <v>4661089.6329454584</v>
      </c>
      <c r="BA84" s="600">
        <f t="shared" si="143"/>
        <v>0</v>
      </c>
      <c r="BB84" s="600">
        <f t="shared" si="144"/>
        <v>0</v>
      </c>
      <c r="BC84" s="600">
        <f t="shared" si="145"/>
        <v>0</v>
      </c>
      <c r="BD84" s="600">
        <f t="shared" si="146"/>
        <v>1637440.7880537394</v>
      </c>
      <c r="BE84" s="600">
        <f t="shared" si="147"/>
        <v>0</v>
      </c>
      <c r="BF84" s="600">
        <f t="shared" si="148"/>
        <v>3023648.8448917191</v>
      </c>
      <c r="BG84" s="600">
        <v>0</v>
      </c>
      <c r="BH84" s="600">
        <v>0</v>
      </c>
      <c r="BI84" s="600">
        <f t="shared" si="149"/>
        <v>0</v>
      </c>
      <c r="BJ84" s="600">
        <f t="shared" si="150"/>
        <v>4661089.63</v>
      </c>
      <c r="BK84" s="600">
        <f t="shared" si="151"/>
        <v>1637440.7870189997</v>
      </c>
      <c r="BL84" s="600">
        <v>4661089.63</v>
      </c>
      <c r="BM84" s="600">
        <f t="shared" si="152"/>
        <v>0</v>
      </c>
      <c r="BN84" s="600">
        <f t="shared" si="153"/>
        <v>0</v>
      </c>
      <c r="BO84" s="600">
        <f t="shared" si="154"/>
        <v>1637440.79</v>
      </c>
      <c r="BP84" s="600">
        <f t="shared" si="155"/>
        <v>1637440.7870189997</v>
      </c>
      <c r="BQ84" s="600">
        <f t="shared" si="156"/>
        <v>0</v>
      </c>
      <c r="BR84" s="600">
        <f t="shared" si="157"/>
        <v>1637440.79</v>
      </c>
      <c r="BT84" s="606">
        <f t="shared" si="158"/>
        <v>1.5530428767220856</v>
      </c>
      <c r="BU84" s="607">
        <f t="shared" si="159"/>
        <v>0</v>
      </c>
      <c r="BV84" s="606">
        <f t="shared" si="160"/>
        <v>1</v>
      </c>
      <c r="BW84" s="607">
        <f t="shared" si="161"/>
        <v>0</v>
      </c>
      <c r="BX84" s="607">
        <f t="shared" si="162"/>
        <v>0</v>
      </c>
      <c r="BY84" s="607">
        <f t="shared" si="163"/>
        <v>0</v>
      </c>
      <c r="BZ84" s="607">
        <f t="shared" si="164"/>
        <v>0</v>
      </c>
      <c r="CA84" s="607">
        <f t="shared" si="165"/>
        <v>0</v>
      </c>
      <c r="CB84" s="607">
        <f t="shared" si="183"/>
        <v>0</v>
      </c>
      <c r="CC84" s="607">
        <f t="shared" si="166"/>
        <v>0</v>
      </c>
      <c r="CD84" s="607">
        <f t="shared" si="167"/>
        <v>0</v>
      </c>
      <c r="CE84" s="607">
        <f t="shared" si="168"/>
        <v>0</v>
      </c>
      <c r="CF84" s="607">
        <f t="shared" si="169"/>
        <v>0</v>
      </c>
      <c r="CG84" s="607">
        <f t="shared" si="170"/>
        <v>0</v>
      </c>
      <c r="CH84" s="607">
        <f t="shared" si="171"/>
        <v>4661089.63</v>
      </c>
      <c r="CI84" s="609"/>
      <c r="CK84" s="610" t="str">
        <f t="shared" si="184"/>
        <v/>
      </c>
      <c r="CL84" s="611" t="str">
        <f>IF(CK84="","",COUNTIFS($CK$16:CK84,"Yes")+MAX(State!AD:AD))</f>
        <v/>
      </c>
      <c r="CM84" s="612" t="b">
        <f>IF(C84="", "", AND(INDEX('Summary Dynamic'!$D$8:$D$10, MATCH(H84, 'Summary Dynamic'!$C$8:$C$10, 0))="Include", INDEX('Summary Dynamic'!$D$12:$D$14, MATCH(I84, 'Summary Dynamic'!$C$12:$C$14, 0))="Include", INDEX('Summary Dynamic'!$D$16:$D$17, MATCH(J84, 'Summary Dynamic'!$C$16:$C$17, 0))="Include", INDEX('Summary Dynamic'!$D$19:$D$20, MATCH(K84, 'Summary Dynamic'!$C$19:$C$20, 0))="Include", INDEX('Summary Dynamic'!$D$25:$D$26, MATCH(L84, 'Summary Dynamic'!$C$25:$C$26, 0))="Include",'Summary Dynamic'!$D$23="Include"))</f>
        <v>1</v>
      </c>
      <c r="CN84" s="613">
        <f>IFERROR(IF(CM84=TRUE, COUNTIFS($CM$16:CM84, TRUE), ""), "")</f>
        <v>69</v>
      </c>
      <c r="CP84" s="614" t="str">
        <f t="shared" si="172"/>
        <v>Rural Public</v>
      </c>
      <c r="CY84" s="615"/>
      <c r="CZ84" s="616"/>
    </row>
    <row r="85" spans="2:104" x14ac:dyDescent="0.25">
      <c r="B85" s="617">
        <f t="shared" si="173"/>
        <v>70</v>
      </c>
      <c r="C85" s="593" t="s">
        <v>699</v>
      </c>
      <c r="D85" s="594" t="s">
        <v>699</v>
      </c>
      <c r="E85" s="594" t="s">
        <v>700</v>
      </c>
      <c r="F85" s="407" t="s">
        <v>701</v>
      </c>
      <c r="G85" s="408" t="s">
        <v>702</v>
      </c>
      <c r="H85" s="408" t="s">
        <v>22</v>
      </c>
      <c r="I85" s="408" t="s">
        <v>28</v>
      </c>
      <c r="J85" s="408" t="s">
        <v>31</v>
      </c>
      <c r="K85" s="408" t="s">
        <v>35</v>
      </c>
      <c r="L85" s="408" t="s">
        <v>35</v>
      </c>
      <c r="M85" s="408" t="s">
        <v>35</v>
      </c>
      <c r="N85" s="595" t="str">
        <f t="shared" si="127"/>
        <v>Yes</v>
      </c>
      <c r="O85" s="596">
        <v>462</v>
      </c>
      <c r="P85" s="596">
        <v>2925</v>
      </c>
      <c r="Q85" s="597">
        <v>0.10610408555861162</v>
      </c>
      <c r="R85" s="596">
        <f t="shared" si="174"/>
        <v>310.35445025893898</v>
      </c>
      <c r="S85" s="596">
        <f t="shared" si="175"/>
        <v>772.35445025893898</v>
      </c>
      <c r="T85" s="596">
        <f t="shared" si="128"/>
        <v>1043.6825686349041</v>
      </c>
      <c r="U85" s="598">
        <f t="shared" si="176"/>
        <v>2.441719564637577E-4</v>
      </c>
      <c r="V85" s="599">
        <f t="shared" si="185"/>
        <v>0</v>
      </c>
      <c r="W85" s="600">
        <v>1269896.5805417798</v>
      </c>
      <c r="X85" s="600">
        <v>0</v>
      </c>
      <c r="Y85" s="600">
        <v>241006.61594611034</v>
      </c>
      <c r="Z85" s="600">
        <f t="shared" si="177"/>
        <v>0</v>
      </c>
      <c r="AA85" s="600">
        <f t="shared" si="178"/>
        <v>1269896.5805417798</v>
      </c>
      <c r="AB85" s="601">
        <f t="shared" si="129"/>
        <v>0</v>
      </c>
      <c r="AC85" s="599">
        <v>95276.204136132583</v>
      </c>
      <c r="AD85" s="599">
        <f>MAX(IF(M85="Yes",'Assumption Inputs'!$C$40,'Assumption Inputs'!$C$41),AC85)</f>
        <v>6000000</v>
      </c>
      <c r="AE85" s="599">
        <f t="shared" si="186"/>
        <v>823781.9117974526</v>
      </c>
      <c r="AF85" s="599">
        <f t="shared" si="130"/>
        <v>446114.66874432715</v>
      </c>
      <c r="AG85" s="599">
        <f t="shared" si="187"/>
        <v>0</v>
      </c>
      <c r="AH85" s="599">
        <f t="shared" si="188"/>
        <v>1269896.5805417798</v>
      </c>
      <c r="AI85" s="599">
        <v>3904187.1218814431</v>
      </c>
      <c r="AJ85" s="599">
        <v>3904187.1218814431</v>
      </c>
      <c r="AK85" s="602">
        <f t="shared" si="179"/>
        <v>1</v>
      </c>
      <c r="AL85" s="603">
        <f t="shared" si="131"/>
        <v>0</v>
      </c>
      <c r="AM85" s="600">
        <f t="shared" si="180"/>
        <v>823781.9117974526</v>
      </c>
      <c r="AN85" s="600">
        <f t="shared" si="132"/>
        <v>823781.9117974526</v>
      </c>
      <c r="AO85" s="600">
        <f t="shared" si="133"/>
        <v>0</v>
      </c>
      <c r="AP85" s="600">
        <f t="shared" si="134"/>
        <v>446114.66874432715</v>
      </c>
      <c r="AQ85" s="600">
        <f t="shared" si="181"/>
        <v>0</v>
      </c>
      <c r="AR85" s="600">
        <f t="shared" si="182"/>
        <v>823781.9117974526</v>
      </c>
      <c r="AS85" s="604">
        <f t="shared" si="135"/>
        <v>446114.66874432715</v>
      </c>
      <c r="AT85" s="605">
        <f t="shared" si="136"/>
        <v>0</v>
      </c>
      <c r="AU85" s="600">
        <f t="shared" si="137"/>
        <v>1269896.5805417798</v>
      </c>
      <c r="AV85" s="600">
        <f t="shared" si="138"/>
        <v>1269896.5805417798</v>
      </c>
      <c r="AW85" s="600">
        <f t="shared" si="139"/>
        <v>0</v>
      </c>
      <c r="AX85" s="600">
        <f t="shared" si="140"/>
        <v>0</v>
      </c>
      <c r="AY85" s="600">
        <f t="shared" si="141"/>
        <v>0</v>
      </c>
      <c r="AZ85" s="600">
        <f t="shared" si="142"/>
        <v>1269896.5805417798</v>
      </c>
      <c r="BA85" s="600">
        <f t="shared" si="143"/>
        <v>0</v>
      </c>
      <c r="BB85" s="600">
        <f t="shared" si="144"/>
        <v>0</v>
      </c>
      <c r="BC85" s="600">
        <f t="shared" si="145"/>
        <v>0</v>
      </c>
      <c r="BD85" s="600">
        <f t="shared" si="146"/>
        <v>446114.66874432715</v>
      </c>
      <c r="BE85" s="600">
        <f t="shared" si="147"/>
        <v>0</v>
      </c>
      <c r="BF85" s="600">
        <f t="shared" si="148"/>
        <v>823781.9117974526</v>
      </c>
      <c r="BG85" s="600">
        <v>0</v>
      </c>
      <c r="BH85" s="600">
        <v>0</v>
      </c>
      <c r="BI85" s="600">
        <f t="shared" si="149"/>
        <v>0</v>
      </c>
      <c r="BJ85" s="600">
        <f t="shared" si="150"/>
        <v>1269896.58</v>
      </c>
      <c r="BK85" s="600">
        <f t="shared" si="151"/>
        <v>446114.66855399997</v>
      </c>
      <c r="BL85" s="600">
        <v>1269896.58</v>
      </c>
      <c r="BM85" s="600">
        <f t="shared" si="152"/>
        <v>0</v>
      </c>
      <c r="BN85" s="600">
        <f t="shared" si="153"/>
        <v>0</v>
      </c>
      <c r="BO85" s="600">
        <f t="shared" si="154"/>
        <v>446114.67</v>
      </c>
      <c r="BP85" s="600">
        <f t="shared" si="155"/>
        <v>446114.66855399997</v>
      </c>
      <c r="BQ85" s="600">
        <f t="shared" si="156"/>
        <v>0</v>
      </c>
      <c r="BR85" s="600">
        <f t="shared" si="157"/>
        <v>446114.67</v>
      </c>
      <c r="BT85" s="606">
        <f t="shared" si="158"/>
        <v>1.3252652960414542</v>
      </c>
      <c r="BU85" s="607">
        <f t="shared" si="159"/>
        <v>0</v>
      </c>
      <c r="BV85" s="606">
        <f t="shared" si="160"/>
        <v>1</v>
      </c>
      <c r="BW85" s="607">
        <f t="shared" si="161"/>
        <v>0</v>
      </c>
      <c r="BX85" s="607">
        <f t="shared" si="162"/>
        <v>0</v>
      </c>
      <c r="BY85" s="607">
        <f t="shared" si="163"/>
        <v>0</v>
      </c>
      <c r="BZ85" s="607">
        <f t="shared" si="164"/>
        <v>0</v>
      </c>
      <c r="CA85" s="607">
        <f t="shared" si="165"/>
        <v>0</v>
      </c>
      <c r="CB85" s="607">
        <f t="shared" si="183"/>
        <v>0</v>
      </c>
      <c r="CC85" s="607">
        <f t="shared" si="166"/>
        <v>0</v>
      </c>
      <c r="CD85" s="607">
        <f t="shared" si="167"/>
        <v>0</v>
      </c>
      <c r="CE85" s="607">
        <f t="shared" si="168"/>
        <v>0</v>
      </c>
      <c r="CF85" s="607">
        <f t="shared" si="169"/>
        <v>0</v>
      </c>
      <c r="CG85" s="607">
        <f t="shared" si="170"/>
        <v>0</v>
      </c>
      <c r="CH85" s="607">
        <f t="shared" si="171"/>
        <v>1269896.58</v>
      </c>
      <c r="CI85" s="609"/>
      <c r="CK85" s="610" t="str">
        <f t="shared" si="184"/>
        <v/>
      </c>
      <c r="CL85" s="611" t="str">
        <f>IF(CK85="","",COUNTIFS($CK$16:CK85,"Yes")+MAX(State!AD:AD))</f>
        <v/>
      </c>
      <c r="CM85" s="612" t="b">
        <f>IF(C85="", "", AND(INDEX('Summary Dynamic'!$D$8:$D$10, MATCH(H85, 'Summary Dynamic'!$C$8:$C$10, 0))="Include", INDEX('Summary Dynamic'!$D$12:$D$14, MATCH(I85, 'Summary Dynamic'!$C$12:$C$14, 0))="Include", INDEX('Summary Dynamic'!$D$16:$D$17, MATCH(J85, 'Summary Dynamic'!$C$16:$C$17, 0))="Include", INDEX('Summary Dynamic'!$D$19:$D$20, MATCH(K85, 'Summary Dynamic'!$C$19:$C$20, 0))="Include", INDEX('Summary Dynamic'!$D$25:$D$26, MATCH(L85, 'Summary Dynamic'!$C$25:$C$26, 0))="Include",'Summary Dynamic'!$D$23="Include"))</f>
        <v>1</v>
      </c>
      <c r="CN85" s="613">
        <f>IFERROR(IF(CM85=TRUE, COUNTIFS($CM$16:CM85, TRUE), ""), "")</f>
        <v>70</v>
      </c>
      <c r="CP85" s="614" t="str">
        <f t="shared" si="172"/>
        <v>Rural Public</v>
      </c>
      <c r="CY85" s="615"/>
      <c r="CZ85" s="616"/>
    </row>
    <row r="86" spans="2:104" x14ac:dyDescent="0.25">
      <c r="B86" s="617">
        <f t="shared" si="173"/>
        <v>71</v>
      </c>
      <c r="C86" s="593" t="s">
        <v>703</v>
      </c>
      <c r="D86" s="594" t="s">
        <v>703</v>
      </c>
      <c r="E86" s="594" t="s">
        <v>704</v>
      </c>
      <c r="F86" s="407" t="s">
        <v>705</v>
      </c>
      <c r="G86" s="408" t="s">
        <v>706</v>
      </c>
      <c r="H86" s="408" t="s">
        <v>22</v>
      </c>
      <c r="I86" s="408" t="s">
        <v>26</v>
      </c>
      <c r="J86" s="408" t="s">
        <v>31</v>
      </c>
      <c r="K86" s="408" t="s">
        <v>35</v>
      </c>
      <c r="L86" s="408" t="s">
        <v>35</v>
      </c>
      <c r="M86" s="408" t="s">
        <v>35</v>
      </c>
      <c r="N86" s="595" t="str">
        <f t="shared" si="127"/>
        <v>No</v>
      </c>
      <c r="O86" s="596">
        <v>712</v>
      </c>
      <c r="P86" s="596">
        <v>4406</v>
      </c>
      <c r="Q86" s="597">
        <v>0.21050276979625321</v>
      </c>
      <c r="R86" s="596">
        <f t="shared" si="174"/>
        <v>927.47520372229167</v>
      </c>
      <c r="S86" s="596">
        <f t="shared" si="175"/>
        <v>1639.4752037222916</v>
      </c>
      <c r="T86" s="596">
        <f t="shared" si="128"/>
        <v>1639.4752037222916</v>
      </c>
      <c r="U86" s="598">
        <f t="shared" si="176"/>
        <v>3.8355902464700981E-4</v>
      </c>
      <c r="V86" s="599">
        <f t="shared" si="185"/>
        <v>0</v>
      </c>
      <c r="W86" s="600">
        <v>4398693.4366985345</v>
      </c>
      <c r="X86" s="600">
        <v>0</v>
      </c>
      <c r="Y86" s="600">
        <v>0</v>
      </c>
      <c r="Z86" s="600">
        <f t="shared" si="177"/>
        <v>0</v>
      </c>
      <c r="AA86" s="600">
        <f t="shared" si="178"/>
        <v>4398693.4366985345</v>
      </c>
      <c r="AB86" s="601">
        <f t="shared" si="129"/>
        <v>0</v>
      </c>
      <c r="AC86" s="599">
        <v>0</v>
      </c>
      <c r="AD86" s="599">
        <f>MAX(IF(M86="Yes",'Assumption Inputs'!$C$40,'Assumption Inputs'!$C$41),AC86)</f>
        <v>6000000</v>
      </c>
      <c r="AE86" s="599">
        <f t="shared" si="186"/>
        <v>2853432.4323863396</v>
      </c>
      <c r="AF86" s="599">
        <f t="shared" si="130"/>
        <v>0</v>
      </c>
      <c r="AG86" s="599">
        <f t="shared" si="187"/>
        <v>0</v>
      </c>
      <c r="AH86" s="599">
        <f t="shared" si="188"/>
        <v>2853432.4323863396</v>
      </c>
      <c r="AI86" s="599">
        <v>8701571.2099452186</v>
      </c>
      <c r="AJ86" s="599">
        <v>7156310.2056330238</v>
      </c>
      <c r="AK86" s="602">
        <f t="shared" si="179"/>
        <v>0.82241586409749978</v>
      </c>
      <c r="AL86" s="603">
        <f t="shared" si="131"/>
        <v>0</v>
      </c>
      <c r="AM86" s="600">
        <f t="shared" si="180"/>
        <v>2853432.4323863396</v>
      </c>
      <c r="AN86" s="600">
        <f t="shared" si="132"/>
        <v>2853432.4323863396</v>
      </c>
      <c r="AO86" s="600">
        <f t="shared" si="133"/>
        <v>0</v>
      </c>
      <c r="AP86" s="600">
        <f t="shared" si="134"/>
        <v>1545261.0043121949</v>
      </c>
      <c r="AQ86" s="600">
        <f t="shared" si="181"/>
        <v>0</v>
      </c>
      <c r="AR86" s="600">
        <f t="shared" si="182"/>
        <v>2853432.4323863396</v>
      </c>
      <c r="AS86" s="604">
        <f t="shared" si="135"/>
        <v>0</v>
      </c>
      <c r="AT86" s="605">
        <f t="shared" si="136"/>
        <v>0</v>
      </c>
      <c r="AU86" s="600">
        <f t="shared" si="137"/>
        <v>2853432.4323863396</v>
      </c>
      <c r="AV86" s="600">
        <f t="shared" si="138"/>
        <v>2853432.4323863396</v>
      </c>
      <c r="AW86" s="600">
        <f t="shared" si="139"/>
        <v>0</v>
      </c>
      <c r="AX86" s="600">
        <f t="shared" si="140"/>
        <v>1545261.0043121949</v>
      </c>
      <c r="AY86" s="600">
        <f t="shared" si="141"/>
        <v>3.0403770416329368E-12</v>
      </c>
      <c r="AZ86" s="600">
        <f t="shared" si="142"/>
        <v>2853432.4323863396</v>
      </c>
      <c r="BA86" s="600">
        <f t="shared" si="143"/>
        <v>0</v>
      </c>
      <c r="BB86" s="600">
        <f t="shared" si="144"/>
        <v>0</v>
      </c>
      <c r="BC86" s="600">
        <f t="shared" si="145"/>
        <v>0</v>
      </c>
      <c r="BD86" s="600">
        <f t="shared" si="146"/>
        <v>0</v>
      </c>
      <c r="BE86" s="600">
        <f t="shared" si="147"/>
        <v>1545261.0043121949</v>
      </c>
      <c r="BF86" s="600">
        <f t="shared" si="148"/>
        <v>2853432.4323863396</v>
      </c>
      <c r="BG86" s="600">
        <v>0</v>
      </c>
      <c r="BH86" s="600">
        <v>0</v>
      </c>
      <c r="BI86" s="600">
        <f t="shared" si="149"/>
        <v>0</v>
      </c>
      <c r="BJ86" s="600">
        <f t="shared" si="150"/>
        <v>2853432.43</v>
      </c>
      <c r="BK86" s="600">
        <f t="shared" si="151"/>
        <v>1002410.8126589999</v>
      </c>
      <c r="BL86" s="600">
        <v>2853432.43</v>
      </c>
      <c r="BM86" s="600">
        <f t="shared" si="152"/>
        <v>0</v>
      </c>
      <c r="BN86" s="600">
        <f t="shared" si="153"/>
        <v>0</v>
      </c>
      <c r="BO86" s="600">
        <f t="shared" si="154"/>
        <v>0</v>
      </c>
      <c r="BP86" s="600">
        <f t="shared" si="155"/>
        <v>1002410.8126589999</v>
      </c>
      <c r="BQ86" s="600">
        <f t="shared" si="156"/>
        <v>0</v>
      </c>
      <c r="BR86" s="600">
        <f t="shared" si="157"/>
        <v>0</v>
      </c>
      <c r="BT86" s="606">
        <f t="shared" si="158"/>
        <v>1</v>
      </c>
      <c r="BU86" s="607">
        <f t="shared" si="159"/>
        <v>0</v>
      </c>
      <c r="BV86" s="606">
        <f t="shared" si="160"/>
        <v>1.1503373809310056</v>
      </c>
      <c r="BW86" s="607">
        <f t="shared" si="161"/>
        <v>0</v>
      </c>
      <c r="BX86" s="607">
        <f t="shared" si="162"/>
        <v>0</v>
      </c>
      <c r="BY86" s="607">
        <f t="shared" si="163"/>
        <v>0</v>
      </c>
      <c r="BZ86" s="607">
        <f t="shared" si="164"/>
        <v>0</v>
      </c>
      <c r="CA86" s="607">
        <f t="shared" si="165"/>
        <v>0</v>
      </c>
      <c r="CB86" s="607">
        <f t="shared" si="183"/>
        <v>0</v>
      </c>
      <c r="CC86" s="607">
        <f t="shared" si="166"/>
        <v>542850.19081487402</v>
      </c>
      <c r="CD86" s="607">
        <f t="shared" si="167"/>
        <v>1545261.0043121949</v>
      </c>
      <c r="CE86" s="607">
        <f t="shared" si="168"/>
        <v>1545261.0043121949</v>
      </c>
      <c r="CF86" s="607">
        <f t="shared" si="169"/>
        <v>744774.04</v>
      </c>
      <c r="CG86" s="607">
        <f t="shared" si="170"/>
        <v>0</v>
      </c>
      <c r="CH86" s="607">
        <f t="shared" si="171"/>
        <v>3598206.47</v>
      </c>
      <c r="CI86" s="609"/>
      <c r="CK86" s="610" t="str">
        <f t="shared" si="184"/>
        <v/>
      </c>
      <c r="CL86" s="611" t="str">
        <f>IF(CK86="","",COUNTIFS($CK$16:CK86,"Yes")+MAX(State!AD:AD))</f>
        <v/>
      </c>
      <c r="CM86" s="612" t="b">
        <f>IF(C86="", "", AND(INDEX('Summary Dynamic'!$D$8:$D$10, MATCH(H86, 'Summary Dynamic'!$C$8:$C$10, 0))="Include", INDEX('Summary Dynamic'!$D$12:$D$14, MATCH(I86, 'Summary Dynamic'!$C$12:$C$14, 0))="Include", INDEX('Summary Dynamic'!$D$16:$D$17, MATCH(J86, 'Summary Dynamic'!$C$16:$C$17, 0))="Include", INDEX('Summary Dynamic'!$D$19:$D$20, MATCH(K86, 'Summary Dynamic'!$C$19:$C$20, 0))="Include", INDEX('Summary Dynamic'!$D$25:$D$26, MATCH(L86, 'Summary Dynamic'!$C$25:$C$26, 0))="Include",'Summary Dynamic'!$D$23="Include"))</f>
        <v>1</v>
      </c>
      <c r="CN86" s="613">
        <f>IFERROR(IF(CM86=TRUE, COUNTIFS($CM$16:CM86, TRUE), ""), "")</f>
        <v>71</v>
      </c>
      <c r="CP86" s="614" t="str">
        <f t="shared" si="172"/>
        <v>Rural Private</v>
      </c>
      <c r="CY86" s="615"/>
      <c r="CZ86" s="616"/>
    </row>
    <row r="87" spans="2:104" x14ac:dyDescent="0.25">
      <c r="B87" s="617">
        <f t="shared" si="173"/>
        <v>72</v>
      </c>
      <c r="C87" s="593" t="s">
        <v>707</v>
      </c>
      <c r="D87" s="594" t="s">
        <v>707</v>
      </c>
      <c r="E87" s="594" t="s">
        <v>708</v>
      </c>
      <c r="F87" s="407" t="s">
        <v>709</v>
      </c>
      <c r="G87" s="408" t="s">
        <v>710</v>
      </c>
      <c r="H87" s="408" t="s">
        <v>22</v>
      </c>
      <c r="I87" s="408" t="s">
        <v>26</v>
      </c>
      <c r="J87" s="408" t="s">
        <v>31</v>
      </c>
      <c r="K87" s="408" t="s">
        <v>35</v>
      </c>
      <c r="L87" s="408" t="s">
        <v>35</v>
      </c>
      <c r="M87" s="408" t="s">
        <v>35</v>
      </c>
      <c r="N87" s="595" t="str">
        <f t="shared" si="127"/>
        <v>No</v>
      </c>
      <c r="O87" s="596">
        <v>708</v>
      </c>
      <c r="P87" s="596">
        <v>2841</v>
      </c>
      <c r="Q87" s="597">
        <v>0.21313190863013681</v>
      </c>
      <c r="R87" s="596">
        <f t="shared" si="174"/>
        <v>605.50775241821873</v>
      </c>
      <c r="S87" s="596">
        <f t="shared" si="175"/>
        <v>1313.5077524182188</v>
      </c>
      <c r="T87" s="596">
        <f t="shared" si="128"/>
        <v>1313.5077524182188</v>
      </c>
      <c r="U87" s="598">
        <f t="shared" si="176"/>
        <v>3.0729818373584708E-4</v>
      </c>
      <c r="V87" s="599">
        <f t="shared" si="185"/>
        <v>0</v>
      </c>
      <c r="W87" s="600">
        <v>1179245.685897701</v>
      </c>
      <c r="X87" s="600">
        <v>0</v>
      </c>
      <c r="Y87" s="600">
        <v>744878.83050577017</v>
      </c>
      <c r="Z87" s="600">
        <f t="shared" si="177"/>
        <v>0</v>
      </c>
      <c r="AA87" s="600">
        <f t="shared" si="178"/>
        <v>1179245.685897701</v>
      </c>
      <c r="AB87" s="601">
        <f t="shared" si="129"/>
        <v>0</v>
      </c>
      <c r="AC87" s="599">
        <v>0</v>
      </c>
      <c r="AD87" s="599">
        <f>MAX(IF(M87="Yes",'Assumption Inputs'!$C$40,'Assumption Inputs'!$C$41),AC87)</f>
        <v>6000000</v>
      </c>
      <c r="AE87" s="599">
        <f t="shared" si="186"/>
        <v>764976.67644183873</v>
      </c>
      <c r="AF87" s="599">
        <f t="shared" si="130"/>
        <v>0</v>
      </c>
      <c r="AG87" s="599">
        <f t="shared" si="187"/>
        <v>0</v>
      </c>
      <c r="AH87" s="599">
        <f t="shared" si="188"/>
        <v>764976.67644183873</v>
      </c>
      <c r="AI87" s="599">
        <v>6400274.211633062</v>
      </c>
      <c r="AJ87" s="599">
        <v>5986005.2021772005</v>
      </c>
      <c r="AK87" s="602">
        <f t="shared" si="179"/>
        <v>0.93527324052727445</v>
      </c>
      <c r="AL87" s="603">
        <f t="shared" si="131"/>
        <v>0</v>
      </c>
      <c r="AM87" s="600">
        <f t="shared" si="180"/>
        <v>764976.67644183873</v>
      </c>
      <c r="AN87" s="600">
        <f t="shared" si="132"/>
        <v>764976.67644183873</v>
      </c>
      <c r="AO87" s="600">
        <f t="shared" si="133"/>
        <v>0</v>
      </c>
      <c r="AP87" s="600">
        <f t="shared" si="134"/>
        <v>414269.00945586222</v>
      </c>
      <c r="AQ87" s="600">
        <f t="shared" si="181"/>
        <v>0</v>
      </c>
      <c r="AR87" s="600">
        <f t="shared" si="182"/>
        <v>764976.67644183873</v>
      </c>
      <c r="AS87" s="604">
        <f t="shared" si="135"/>
        <v>0</v>
      </c>
      <c r="AT87" s="605">
        <f t="shared" si="136"/>
        <v>0</v>
      </c>
      <c r="AU87" s="600">
        <f t="shared" si="137"/>
        <v>764976.67644183873</v>
      </c>
      <c r="AV87" s="600">
        <f t="shared" si="138"/>
        <v>764976.67644183873</v>
      </c>
      <c r="AW87" s="600">
        <f t="shared" si="139"/>
        <v>0</v>
      </c>
      <c r="AX87" s="600">
        <f t="shared" si="140"/>
        <v>414269.00945586222</v>
      </c>
      <c r="AY87" s="600">
        <f t="shared" si="141"/>
        <v>8.1509465513901826E-13</v>
      </c>
      <c r="AZ87" s="600">
        <f t="shared" si="142"/>
        <v>764976.67644183873</v>
      </c>
      <c r="BA87" s="600">
        <f t="shared" si="143"/>
        <v>0</v>
      </c>
      <c r="BB87" s="600">
        <f t="shared" si="144"/>
        <v>0</v>
      </c>
      <c r="BC87" s="600">
        <f t="shared" si="145"/>
        <v>0</v>
      </c>
      <c r="BD87" s="600">
        <f t="shared" si="146"/>
        <v>0</v>
      </c>
      <c r="BE87" s="600">
        <f t="shared" si="147"/>
        <v>414269.00945586222</v>
      </c>
      <c r="BF87" s="600">
        <f t="shared" si="148"/>
        <v>764976.67644183873</v>
      </c>
      <c r="BG87" s="600">
        <v>0</v>
      </c>
      <c r="BH87" s="600">
        <v>0</v>
      </c>
      <c r="BI87" s="600">
        <f t="shared" si="149"/>
        <v>0</v>
      </c>
      <c r="BJ87" s="600">
        <f t="shared" si="150"/>
        <v>764976.68</v>
      </c>
      <c r="BK87" s="600">
        <f t="shared" si="151"/>
        <v>268736.307684</v>
      </c>
      <c r="BL87" s="600">
        <v>764976.68</v>
      </c>
      <c r="BM87" s="600">
        <f t="shared" si="152"/>
        <v>0</v>
      </c>
      <c r="BN87" s="600">
        <f t="shared" si="153"/>
        <v>0</v>
      </c>
      <c r="BO87" s="600">
        <f t="shared" si="154"/>
        <v>0</v>
      </c>
      <c r="BP87" s="600">
        <f t="shared" si="155"/>
        <v>268736.307684</v>
      </c>
      <c r="BQ87" s="600">
        <f t="shared" si="156"/>
        <v>0</v>
      </c>
      <c r="BR87" s="600">
        <f t="shared" si="157"/>
        <v>0</v>
      </c>
      <c r="BT87" s="606">
        <f t="shared" si="158"/>
        <v>1</v>
      </c>
      <c r="BU87" s="607">
        <f t="shared" si="159"/>
        <v>0</v>
      </c>
      <c r="BV87" s="606">
        <f t="shared" si="160"/>
        <v>1.0547957257685454</v>
      </c>
      <c r="BW87" s="607">
        <f t="shared" si="161"/>
        <v>0</v>
      </c>
      <c r="BX87" s="607">
        <f t="shared" si="162"/>
        <v>0</v>
      </c>
      <c r="BY87" s="607">
        <f t="shared" si="163"/>
        <v>0</v>
      </c>
      <c r="BZ87" s="607">
        <f t="shared" si="164"/>
        <v>0</v>
      </c>
      <c r="CA87" s="607">
        <f t="shared" si="165"/>
        <v>0</v>
      </c>
      <c r="CB87" s="607">
        <f t="shared" si="183"/>
        <v>0</v>
      </c>
      <c r="CC87" s="607">
        <f t="shared" si="166"/>
        <v>145532.70302184438</v>
      </c>
      <c r="CD87" s="607">
        <f t="shared" si="167"/>
        <v>414269.00945586222</v>
      </c>
      <c r="CE87" s="607">
        <f t="shared" si="168"/>
        <v>414269.00945586222</v>
      </c>
      <c r="CF87" s="607">
        <f t="shared" si="169"/>
        <v>199666.46</v>
      </c>
      <c r="CG87" s="607">
        <f t="shared" si="170"/>
        <v>0</v>
      </c>
      <c r="CH87" s="607">
        <f t="shared" si="171"/>
        <v>964643.14</v>
      </c>
      <c r="CI87" s="609"/>
      <c r="CK87" s="610" t="str">
        <f t="shared" si="184"/>
        <v/>
      </c>
      <c r="CL87" s="611" t="str">
        <f>IF(CK87="","",COUNTIFS($CK$16:CK87,"Yes")+MAX(State!AD:AD))</f>
        <v/>
      </c>
      <c r="CM87" s="612" t="b">
        <f>IF(C87="", "", AND(INDEX('Summary Dynamic'!$D$8:$D$10, MATCH(H87, 'Summary Dynamic'!$C$8:$C$10, 0))="Include", INDEX('Summary Dynamic'!$D$12:$D$14, MATCH(I87, 'Summary Dynamic'!$C$12:$C$14, 0))="Include", INDEX('Summary Dynamic'!$D$16:$D$17, MATCH(J87, 'Summary Dynamic'!$C$16:$C$17, 0))="Include", INDEX('Summary Dynamic'!$D$19:$D$20, MATCH(K87, 'Summary Dynamic'!$C$19:$C$20, 0))="Include", INDEX('Summary Dynamic'!$D$25:$D$26, MATCH(L87, 'Summary Dynamic'!$C$25:$C$26, 0))="Include",'Summary Dynamic'!$D$23="Include"))</f>
        <v>1</v>
      </c>
      <c r="CN87" s="613">
        <f>IFERROR(IF(CM87=TRUE, COUNTIFS($CM$16:CM87, TRUE), ""), "")</f>
        <v>72</v>
      </c>
      <c r="CP87" s="614" t="str">
        <f t="shared" si="172"/>
        <v>Rural Private</v>
      </c>
      <c r="CY87" s="615"/>
      <c r="CZ87" s="616"/>
    </row>
    <row r="88" spans="2:104" x14ac:dyDescent="0.25">
      <c r="B88" s="617">
        <f t="shared" si="173"/>
        <v>73</v>
      </c>
      <c r="C88" s="593" t="s">
        <v>711</v>
      </c>
      <c r="D88" s="594" t="s">
        <v>711</v>
      </c>
      <c r="E88" s="594" t="s">
        <v>712</v>
      </c>
      <c r="F88" s="407" t="s">
        <v>713</v>
      </c>
      <c r="G88" s="408" t="s">
        <v>282</v>
      </c>
      <c r="H88" s="408" t="s">
        <v>11</v>
      </c>
      <c r="I88" s="408" t="s">
        <v>28</v>
      </c>
      <c r="J88" s="408" t="s">
        <v>35</v>
      </c>
      <c r="K88" s="408" t="s">
        <v>35</v>
      </c>
      <c r="L88" s="408" t="s">
        <v>35</v>
      </c>
      <c r="M88" s="408" t="s">
        <v>37</v>
      </c>
      <c r="N88" s="595" t="str">
        <f t="shared" si="127"/>
        <v>No</v>
      </c>
      <c r="O88" s="596">
        <v>57687</v>
      </c>
      <c r="P88" s="596">
        <v>175154</v>
      </c>
      <c r="Q88" s="597">
        <v>0.52380345524393923</v>
      </c>
      <c r="R88" s="596">
        <f t="shared" si="174"/>
        <v>91746.270399796937</v>
      </c>
      <c r="S88" s="596">
        <f t="shared" si="175"/>
        <v>149433.27039979695</v>
      </c>
      <c r="T88" s="596">
        <f t="shared" si="128"/>
        <v>149433.27039979695</v>
      </c>
      <c r="U88" s="598">
        <f t="shared" si="176"/>
        <v>3.4960260035788719E-2</v>
      </c>
      <c r="V88" s="599">
        <f t="shared" si="185"/>
        <v>0</v>
      </c>
      <c r="W88" s="600">
        <v>299755501.62327653</v>
      </c>
      <c r="X88" s="600">
        <v>0</v>
      </c>
      <c r="Y88" s="600">
        <v>858559883.62962914</v>
      </c>
      <c r="Z88" s="600">
        <f t="shared" si="177"/>
        <v>0</v>
      </c>
      <c r="AA88" s="600">
        <f t="shared" si="178"/>
        <v>299755501.62327653</v>
      </c>
      <c r="AB88" s="601">
        <f t="shared" si="129"/>
        <v>0.17687119697997217</v>
      </c>
      <c r="AC88" s="599">
        <v>0</v>
      </c>
      <c r="AD88" s="599">
        <f>MAX(IF(M88="Yes",'Assumption Inputs'!$C$40,'Assumption Inputs'!$C$41),AC88)</f>
        <v>8000000</v>
      </c>
      <c r="AE88" s="599">
        <f t="shared" si="186"/>
        <v>8000000</v>
      </c>
      <c r="AF88" s="599">
        <f t="shared" si="130"/>
        <v>4332357.0217357781</v>
      </c>
      <c r="AG88" s="599">
        <f t="shared" si="187"/>
        <v>56378218.860699698</v>
      </c>
      <c r="AH88" s="599">
        <f t="shared" si="188"/>
        <v>12332357.021735778</v>
      </c>
      <c r="AI88" s="599">
        <v>1004607643.820537</v>
      </c>
      <c r="AJ88" s="599">
        <v>717184499.21899629</v>
      </c>
      <c r="AK88" s="602">
        <f t="shared" si="179"/>
        <v>0.7138951247588895</v>
      </c>
      <c r="AL88" s="603">
        <f t="shared" si="131"/>
        <v>0</v>
      </c>
      <c r="AM88" s="600">
        <f t="shared" si="180"/>
        <v>8000000</v>
      </c>
      <c r="AN88" s="600">
        <f t="shared" si="132"/>
        <v>8000000</v>
      </c>
      <c r="AO88" s="600">
        <f t="shared" si="133"/>
        <v>0</v>
      </c>
      <c r="AP88" s="600">
        <f t="shared" si="134"/>
        <v>291755501.62327653</v>
      </c>
      <c r="AQ88" s="600">
        <f t="shared" si="181"/>
        <v>0</v>
      </c>
      <c r="AR88" s="600">
        <f t="shared" si="182"/>
        <v>8000000</v>
      </c>
      <c r="AS88" s="604">
        <f t="shared" si="135"/>
        <v>4332357.0217357781</v>
      </c>
      <c r="AT88" s="605">
        <f t="shared" si="136"/>
        <v>64039321.529875204</v>
      </c>
      <c r="AU88" s="600">
        <f t="shared" si="137"/>
        <v>76371678.551610976</v>
      </c>
      <c r="AV88" s="600">
        <f t="shared" si="138"/>
        <v>76371678.551610976</v>
      </c>
      <c r="AW88" s="600">
        <f t="shared" si="139"/>
        <v>0</v>
      </c>
      <c r="AX88" s="600">
        <f t="shared" si="140"/>
        <v>223383823.07166556</v>
      </c>
      <c r="AY88" s="600">
        <f t="shared" si="141"/>
        <v>4.3951866075957119E-10</v>
      </c>
      <c r="AZ88" s="600">
        <f t="shared" si="142"/>
        <v>76371678.551610976</v>
      </c>
      <c r="BA88" s="600">
        <f t="shared" si="143"/>
        <v>0</v>
      </c>
      <c r="BB88" s="600">
        <f t="shared" si="144"/>
        <v>1.5440290552483733E-10</v>
      </c>
      <c r="BC88" s="600">
        <f t="shared" si="145"/>
        <v>1.9656256228157718E-10</v>
      </c>
      <c r="BD88" s="600">
        <f t="shared" si="146"/>
        <v>68371678.551610976</v>
      </c>
      <c r="BE88" s="600">
        <f t="shared" si="147"/>
        <v>223383823.07166556</v>
      </c>
      <c r="BF88" s="600">
        <f t="shared" si="148"/>
        <v>8000000</v>
      </c>
      <c r="BG88" s="600">
        <v>0</v>
      </c>
      <c r="BH88" s="600">
        <v>0</v>
      </c>
      <c r="BI88" s="600">
        <f t="shared" si="149"/>
        <v>0</v>
      </c>
      <c r="BJ88" s="600">
        <f t="shared" si="150"/>
        <v>76371678.549999997</v>
      </c>
      <c r="BK88" s="600">
        <f t="shared" si="151"/>
        <v>26829370.674614996</v>
      </c>
      <c r="BL88" s="600">
        <v>76371678.549999997</v>
      </c>
      <c r="BM88" s="600">
        <f t="shared" si="152"/>
        <v>0</v>
      </c>
      <c r="BN88" s="600">
        <f t="shared" si="153"/>
        <v>0</v>
      </c>
      <c r="BO88" s="600">
        <f t="shared" si="154"/>
        <v>68371678.549999997</v>
      </c>
      <c r="BP88" s="600">
        <f t="shared" si="155"/>
        <v>26829370.674614996</v>
      </c>
      <c r="BQ88" s="600">
        <f t="shared" si="156"/>
        <v>41542307.875989527</v>
      </c>
      <c r="BR88" s="600">
        <f t="shared" si="157"/>
        <v>68371678.549999997</v>
      </c>
      <c r="BT88" s="606">
        <f t="shared" si="158"/>
        <v>1</v>
      </c>
      <c r="BU88" s="607">
        <f t="shared" si="159"/>
        <v>0</v>
      </c>
      <c r="BV88" s="606">
        <f t="shared" si="160"/>
        <v>1</v>
      </c>
      <c r="BW88" s="607">
        <f t="shared" si="161"/>
        <v>0</v>
      </c>
      <c r="BX88" s="607">
        <f t="shared" si="162"/>
        <v>0</v>
      </c>
      <c r="BY88" s="607">
        <f t="shared" si="163"/>
        <v>0</v>
      </c>
      <c r="BZ88" s="607">
        <f t="shared" si="164"/>
        <v>0</v>
      </c>
      <c r="CA88" s="607">
        <f t="shared" si="165"/>
        <v>0</v>
      </c>
      <c r="CB88" s="607">
        <f t="shared" si="183"/>
        <v>0</v>
      </c>
      <c r="CC88" s="607">
        <f t="shared" si="166"/>
        <v>0</v>
      </c>
      <c r="CD88" s="607">
        <f t="shared" si="167"/>
        <v>0</v>
      </c>
      <c r="CE88" s="607">
        <f t="shared" si="168"/>
        <v>0</v>
      </c>
      <c r="CF88" s="607">
        <f t="shared" si="169"/>
        <v>0</v>
      </c>
      <c r="CG88" s="607">
        <f t="shared" si="170"/>
        <v>1557238.9037309291</v>
      </c>
      <c r="CH88" s="607">
        <f t="shared" si="171"/>
        <v>77928917.453730926</v>
      </c>
      <c r="CI88" s="609"/>
      <c r="CK88" s="610" t="str">
        <f t="shared" si="184"/>
        <v/>
      </c>
      <c r="CL88" s="611" t="str">
        <f>IF(CK88="","",COUNTIFS($CK$16:CK88,"Yes")+MAX(State!AD:AD))</f>
        <v/>
      </c>
      <c r="CM88" s="612" t="b">
        <f>IF(C88="", "", AND(INDEX('Summary Dynamic'!$D$8:$D$10, MATCH(H88, 'Summary Dynamic'!$C$8:$C$10, 0))="Include", INDEX('Summary Dynamic'!$D$12:$D$14, MATCH(I88, 'Summary Dynamic'!$C$12:$C$14, 0))="Include", INDEX('Summary Dynamic'!$D$16:$D$17, MATCH(J88, 'Summary Dynamic'!$C$16:$C$17, 0))="Include", INDEX('Summary Dynamic'!$D$19:$D$20, MATCH(K88, 'Summary Dynamic'!$C$19:$C$20, 0))="Include", INDEX('Summary Dynamic'!$D$25:$D$26, MATCH(L88, 'Summary Dynamic'!$C$25:$C$26, 0))="Include",'Summary Dynamic'!$D$23="Include"))</f>
        <v>1</v>
      </c>
      <c r="CN88" s="613">
        <f>IFERROR(IF(CM88=TRUE, COUNTIFS($CM$16:CM88, TRUE), ""), "")</f>
        <v>73</v>
      </c>
      <c r="CP88" s="614" t="str">
        <f t="shared" si="172"/>
        <v>Urban Public Class 1</v>
      </c>
      <c r="CY88" s="615"/>
      <c r="CZ88" s="616"/>
    </row>
    <row r="89" spans="2:104" x14ac:dyDescent="0.25">
      <c r="B89" s="617">
        <f t="shared" si="173"/>
        <v>74</v>
      </c>
      <c r="C89" s="593" t="s">
        <v>714</v>
      </c>
      <c r="D89" s="594" t="s">
        <v>714</v>
      </c>
      <c r="E89" s="594" t="s">
        <v>715</v>
      </c>
      <c r="F89" s="407" t="s">
        <v>716</v>
      </c>
      <c r="G89" s="408" t="s">
        <v>717</v>
      </c>
      <c r="H89" s="408" t="s">
        <v>22</v>
      </c>
      <c r="I89" s="408" t="s">
        <v>28</v>
      </c>
      <c r="J89" s="408" t="s">
        <v>31</v>
      </c>
      <c r="K89" s="408" t="s">
        <v>35</v>
      </c>
      <c r="L89" s="408" t="s">
        <v>35</v>
      </c>
      <c r="M89" s="408" t="s">
        <v>35</v>
      </c>
      <c r="N89" s="595" t="str">
        <f t="shared" si="127"/>
        <v>Yes</v>
      </c>
      <c r="O89" s="596">
        <v>727</v>
      </c>
      <c r="P89" s="596">
        <v>1576</v>
      </c>
      <c r="Q89" s="597">
        <v>0.30213232116685151</v>
      </c>
      <c r="R89" s="596">
        <f t="shared" si="174"/>
        <v>476.16053815895799</v>
      </c>
      <c r="S89" s="596">
        <f t="shared" si="175"/>
        <v>1203.1605381589579</v>
      </c>
      <c r="T89" s="596">
        <f t="shared" si="128"/>
        <v>1625.8308352141999</v>
      </c>
      <c r="U89" s="598">
        <f t="shared" si="176"/>
        <v>3.8036689300329483E-4</v>
      </c>
      <c r="V89" s="599">
        <f t="shared" si="185"/>
        <v>0</v>
      </c>
      <c r="W89" s="600">
        <v>3760250.8305119332</v>
      </c>
      <c r="X89" s="600">
        <v>0</v>
      </c>
      <c r="Y89" s="600">
        <v>3510829.0699681207</v>
      </c>
      <c r="Z89" s="600">
        <f t="shared" si="177"/>
        <v>0</v>
      </c>
      <c r="AA89" s="600">
        <f t="shared" si="178"/>
        <v>3760250.8305119332</v>
      </c>
      <c r="AB89" s="601">
        <f t="shared" si="129"/>
        <v>0</v>
      </c>
      <c r="AC89" s="599">
        <v>641804.03566784051</v>
      </c>
      <c r="AD89" s="599">
        <f>MAX(IF(M89="Yes",'Assumption Inputs'!$C$40,'Assumption Inputs'!$C$41),AC89)</f>
        <v>6000000</v>
      </c>
      <c r="AE89" s="599">
        <f t="shared" si="186"/>
        <v>2439274.7137530912</v>
      </c>
      <c r="AF89" s="599">
        <f t="shared" si="130"/>
        <v>1320976.116758842</v>
      </c>
      <c r="AG89" s="599">
        <f t="shared" si="187"/>
        <v>0</v>
      </c>
      <c r="AH89" s="599">
        <f t="shared" si="188"/>
        <v>3760250.8305119332</v>
      </c>
      <c r="AI89" s="599">
        <v>8168192.8861917043</v>
      </c>
      <c r="AJ89" s="599">
        <v>8168192.8861917043</v>
      </c>
      <c r="AK89" s="602">
        <f t="shared" si="179"/>
        <v>1</v>
      </c>
      <c r="AL89" s="603">
        <f t="shared" si="131"/>
        <v>0</v>
      </c>
      <c r="AM89" s="600">
        <f t="shared" si="180"/>
        <v>2439274.7137530912</v>
      </c>
      <c r="AN89" s="600">
        <f t="shared" si="132"/>
        <v>2439274.7137530912</v>
      </c>
      <c r="AO89" s="600">
        <f t="shared" si="133"/>
        <v>0</v>
      </c>
      <c r="AP89" s="600">
        <f t="shared" si="134"/>
        <v>1320976.116758842</v>
      </c>
      <c r="AQ89" s="600">
        <f t="shared" si="181"/>
        <v>0</v>
      </c>
      <c r="AR89" s="600">
        <f t="shared" si="182"/>
        <v>2439274.7137530912</v>
      </c>
      <c r="AS89" s="604">
        <f t="shared" si="135"/>
        <v>1320976.116758842</v>
      </c>
      <c r="AT89" s="605">
        <f t="shared" si="136"/>
        <v>0</v>
      </c>
      <c r="AU89" s="600">
        <f t="shared" si="137"/>
        <v>3760250.8305119332</v>
      </c>
      <c r="AV89" s="600">
        <f t="shared" si="138"/>
        <v>3760250.8305119332</v>
      </c>
      <c r="AW89" s="600">
        <f t="shared" si="139"/>
        <v>0</v>
      </c>
      <c r="AX89" s="600">
        <f t="shared" si="140"/>
        <v>0</v>
      </c>
      <c r="AY89" s="600">
        <f t="shared" si="141"/>
        <v>0</v>
      </c>
      <c r="AZ89" s="600">
        <f t="shared" si="142"/>
        <v>3760250.8305119332</v>
      </c>
      <c r="BA89" s="600">
        <f t="shared" si="143"/>
        <v>0</v>
      </c>
      <c r="BB89" s="600">
        <f t="shared" si="144"/>
        <v>0</v>
      </c>
      <c r="BC89" s="600">
        <f t="shared" si="145"/>
        <v>0</v>
      </c>
      <c r="BD89" s="600">
        <f t="shared" si="146"/>
        <v>1320976.116758842</v>
      </c>
      <c r="BE89" s="600">
        <f t="shared" si="147"/>
        <v>0</v>
      </c>
      <c r="BF89" s="600">
        <f t="shared" si="148"/>
        <v>2439274.7137530912</v>
      </c>
      <c r="BG89" s="600">
        <v>0</v>
      </c>
      <c r="BH89" s="600">
        <v>0</v>
      </c>
      <c r="BI89" s="600">
        <f t="shared" si="149"/>
        <v>0</v>
      </c>
      <c r="BJ89" s="600">
        <f t="shared" si="150"/>
        <v>3760250.83</v>
      </c>
      <c r="BK89" s="600">
        <f t="shared" si="151"/>
        <v>1320976.1165789999</v>
      </c>
      <c r="BL89" s="600">
        <v>3760250.83</v>
      </c>
      <c r="BM89" s="600">
        <f t="shared" si="152"/>
        <v>0</v>
      </c>
      <c r="BN89" s="600">
        <f t="shared" si="153"/>
        <v>0</v>
      </c>
      <c r="BO89" s="600">
        <f t="shared" si="154"/>
        <v>1320976.1200000001</v>
      </c>
      <c r="BP89" s="600">
        <f t="shared" si="155"/>
        <v>1320976.1165789999</v>
      </c>
      <c r="BQ89" s="600">
        <f t="shared" si="156"/>
        <v>0</v>
      </c>
      <c r="BR89" s="600">
        <f t="shared" si="157"/>
        <v>1320976.1200000001</v>
      </c>
      <c r="BT89" s="606">
        <f t="shared" si="158"/>
        <v>1.4603528445510499</v>
      </c>
      <c r="BU89" s="607">
        <f t="shared" si="159"/>
        <v>0</v>
      </c>
      <c r="BV89" s="606">
        <f t="shared" si="160"/>
        <v>1</v>
      </c>
      <c r="BW89" s="607">
        <f t="shared" si="161"/>
        <v>0</v>
      </c>
      <c r="BX89" s="607">
        <f t="shared" si="162"/>
        <v>0</v>
      </c>
      <c r="BY89" s="607">
        <f t="shared" si="163"/>
        <v>0</v>
      </c>
      <c r="BZ89" s="607">
        <f t="shared" si="164"/>
        <v>0</v>
      </c>
      <c r="CA89" s="607">
        <f t="shared" si="165"/>
        <v>0</v>
      </c>
      <c r="CB89" s="607">
        <f t="shared" si="183"/>
        <v>0</v>
      </c>
      <c r="CC89" s="607">
        <f t="shared" si="166"/>
        <v>0</v>
      </c>
      <c r="CD89" s="607">
        <f t="shared" si="167"/>
        <v>0</v>
      </c>
      <c r="CE89" s="607">
        <f t="shared" si="168"/>
        <v>0</v>
      </c>
      <c r="CF89" s="607">
        <f t="shared" si="169"/>
        <v>0</v>
      </c>
      <c r="CG89" s="607">
        <f t="shared" si="170"/>
        <v>0</v>
      </c>
      <c r="CH89" s="607">
        <f t="shared" si="171"/>
        <v>3760250.83</v>
      </c>
      <c r="CI89" s="609"/>
      <c r="CK89" s="610" t="str">
        <f t="shared" si="184"/>
        <v/>
      </c>
      <c r="CL89" s="611" t="str">
        <f>IF(CK89="","",COUNTIFS($CK$16:CK89,"Yes")+MAX(State!AD:AD))</f>
        <v/>
      </c>
      <c r="CM89" s="612" t="b">
        <f>IF(C89="", "", AND(INDEX('Summary Dynamic'!$D$8:$D$10, MATCH(H89, 'Summary Dynamic'!$C$8:$C$10, 0))="Include", INDEX('Summary Dynamic'!$D$12:$D$14, MATCH(I89, 'Summary Dynamic'!$C$12:$C$14, 0))="Include", INDEX('Summary Dynamic'!$D$16:$D$17, MATCH(J89, 'Summary Dynamic'!$C$16:$C$17, 0))="Include", INDEX('Summary Dynamic'!$D$19:$D$20, MATCH(K89, 'Summary Dynamic'!$C$19:$C$20, 0))="Include", INDEX('Summary Dynamic'!$D$25:$D$26, MATCH(L89, 'Summary Dynamic'!$C$25:$C$26, 0))="Include",'Summary Dynamic'!$D$23="Include"))</f>
        <v>1</v>
      </c>
      <c r="CN89" s="613">
        <f>IFERROR(IF(CM89=TRUE, COUNTIFS($CM$16:CM89, TRUE), ""), "")</f>
        <v>74</v>
      </c>
      <c r="CP89" s="614" t="str">
        <f t="shared" si="172"/>
        <v>Rural Public</v>
      </c>
      <c r="CY89" s="615"/>
      <c r="CZ89" s="616"/>
    </row>
    <row r="90" spans="2:104" x14ac:dyDescent="0.25">
      <c r="B90" s="617">
        <f t="shared" si="173"/>
        <v>75</v>
      </c>
      <c r="C90" s="593" t="s">
        <v>718</v>
      </c>
      <c r="D90" s="594" t="s">
        <v>718</v>
      </c>
      <c r="E90" s="594" t="s">
        <v>719</v>
      </c>
      <c r="F90" s="407" t="s">
        <v>720</v>
      </c>
      <c r="G90" s="408" t="s">
        <v>318</v>
      </c>
      <c r="H90" s="408" t="s">
        <v>22</v>
      </c>
      <c r="I90" s="408" t="s">
        <v>26</v>
      </c>
      <c r="J90" s="408" t="s">
        <v>35</v>
      </c>
      <c r="K90" s="408" t="s">
        <v>35</v>
      </c>
      <c r="L90" s="408" t="s">
        <v>35</v>
      </c>
      <c r="M90" s="408" t="s">
        <v>37</v>
      </c>
      <c r="N90" s="595" t="str">
        <f t="shared" si="127"/>
        <v>No</v>
      </c>
      <c r="O90" s="596">
        <v>20522</v>
      </c>
      <c r="P90" s="596">
        <v>99470</v>
      </c>
      <c r="Q90" s="597">
        <v>0.13396646916073063</v>
      </c>
      <c r="R90" s="596">
        <f t="shared" si="174"/>
        <v>13325.644687417876</v>
      </c>
      <c r="S90" s="596">
        <f t="shared" si="175"/>
        <v>33847.64468741788</v>
      </c>
      <c r="T90" s="596">
        <f t="shared" si="128"/>
        <v>33847.64468741788</v>
      </c>
      <c r="U90" s="598">
        <f t="shared" si="176"/>
        <v>7.9187349423941907E-3</v>
      </c>
      <c r="V90" s="599">
        <f t="shared" si="185"/>
        <v>0</v>
      </c>
      <c r="W90" s="600">
        <v>66988381.861281268</v>
      </c>
      <c r="X90" s="600">
        <v>0</v>
      </c>
      <c r="Y90" s="600">
        <v>25496998.596550517</v>
      </c>
      <c r="Z90" s="600">
        <f t="shared" si="177"/>
        <v>0</v>
      </c>
      <c r="AA90" s="600">
        <f t="shared" si="178"/>
        <v>66988381.861281268</v>
      </c>
      <c r="AB90" s="601">
        <f t="shared" si="129"/>
        <v>0</v>
      </c>
      <c r="AC90" s="599">
        <v>9078889.6085040569</v>
      </c>
      <c r="AD90" s="599">
        <f>MAX(IF(M90="Yes",'Assumption Inputs'!$C$40,'Assumption Inputs'!$C$41),AC90)</f>
        <v>9078889.6085040569</v>
      </c>
      <c r="AE90" s="599">
        <f t="shared" si="186"/>
        <v>9078889.6085040569</v>
      </c>
      <c r="AF90" s="599">
        <f t="shared" si="130"/>
        <v>0</v>
      </c>
      <c r="AG90" s="599">
        <f t="shared" si="187"/>
        <v>0</v>
      </c>
      <c r="AH90" s="599">
        <f t="shared" si="188"/>
        <v>9078889.6085040569</v>
      </c>
      <c r="AI90" s="599">
        <v>134298556.20251733</v>
      </c>
      <c r="AJ90" s="599">
        <v>76389063.949740097</v>
      </c>
      <c r="AK90" s="602">
        <f t="shared" si="179"/>
        <v>0.56880033642765426</v>
      </c>
      <c r="AL90" s="603">
        <f t="shared" si="131"/>
        <v>6065741.2892277241</v>
      </c>
      <c r="AM90" s="600">
        <f t="shared" si="180"/>
        <v>15144630.897731781</v>
      </c>
      <c r="AN90" s="600">
        <f t="shared" si="132"/>
        <v>15144630.897731781</v>
      </c>
      <c r="AO90" s="600">
        <f t="shared" si="133"/>
        <v>0</v>
      </c>
      <c r="AP90" s="600">
        <f t="shared" si="134"/>
        <v>51843750.963549487</v>
      </c>
      <c r="AQ90" s="600">
        <f t="shared" si="181"/>
        <v>0</v>
      </c>
      <c r="AR90" s="600">
        <f t="shared" si="182"/>
        <v>15144630.897731781</v>
      </c>
      <c r="AS90" s="604">
        <f t="shared" si="135"/>
        <v>0</v>
      </c>
      <c r="AT90" s="605">
        <f t="shared" si="136"/>
        <v>0</v>
      </c>
      <c r="AU90" s="600">
        <f t="shared" si="137"/>
        <v>15144630.897731781</v>
      </c>
      <c r="AV90" s="600">
        <f t="shared" si="138"/>
        <v>15144630.897731781</v>
      </c>
      <c r="AW90" s="600">
        <f t="shared" si="139"/>
        <v>0</v>
      </c>
      <c r="AX90" s="600">
        <f t="shared" si="140"/>
        <v>51843750.963549487</v>
      </c>
      <c r="AY90" s="600">
        <f t="shared" si="141"/>
        <v>1.0200513035781354E-10</v>
      </c>
      <c r="AZ90" s="600">
        <f t="shared" si="142"/>
        <v>15144630.897731781</v>
      </c>
      <c r="BA90" s="600">
        <f t="shared" si="143"/>
        <v>0</v>
      </c>
      <c r="BB90" s="600">
        <f t="shared" si="144"/>
        <v>0</v>
      </c>
      <c r="BC90" s="600">
        <f t="shared" si="145"/>
        <v>0</v>
      </c>
      <c r="BD90" s="600">
        <f t="shared" si="146"/>
        <v>0</v>
      </c>
      <c r="BE90" s="600">
        <f t="shared" si="147"/>
        <v>51843750.963549487</v>
      </c>
      <c r="BF90" s="600">
        <f t="shared" si="148"/>
        <v>15144630.897731781</v>
      </c>
      <c r="BG90" s="600">
        <v>0</v>
      </c>
      <c r="BH90" s="600">
        <v>0</v>
      </c>
      <c r="BI90" s="600">
        <f t="shared" si="149"/>
        <v>0</v>
      </c>
      <c r="BJ90" s="600">
        <f t="shared" si="150"/>
        <v>15144630.9</v>
      </c>
      <c r="BK90" s="600">
        <f t="shared" si="151"/>
        <v>5320308.8351699989</v>
      </c>
      <c r="BL90" s="600">
        <v>15144630.9</v>
      </c>
      <c r="BM90" s="600">
        <f t="shared" si="152"/>
        <v>0</v>
      </c>
      <c r="BN90" s="600">
        <f t="shared" si="153"/>
        <v>0</v>
      </c>
      <c r="BO90" s="600">
        <f t="shared" si="154"/>
        <v>0</v>
      </c>
      <c r="BP90" s="600">
        <f t="shared" si="155"/>
        <v>5320308.8351699989</v>
      </c>
      <c r="BQ90" s="600">
        <f t="shared" si="156"/>
        <v>0</v>
      </c>
      <c r="BR90" s="600">
        <f t="shared" si="157"/>
        <v>0</v>
      </c>
      <c r="BT90" s="606">
        <f t="shared" si="158"/>
        <v>1</v>
      </c>
      <c r="BU90" s="607">
        <f t="shared" si="159"/>
        <v>0</v>
      </c>
      <c r="BV90" s="606">
        <f t="shared" si="160"/>
        <v>1</v>
      </c>
      <c r="BW90" s="607">
        <f t="shared" si="161"/>
        <v>0</v>
      </c>
      <c r="BX90" s="607">
        <f t="shared" si="162"/>
        <v>0</v>
      </c>
      <c r="BY90" s="607">
        <f t="shared" si="163"/>
        <v>0</v>
      </c>
      <c r="BZ90" s="607">
        <f t="shared" si="164"/>
        <v>0</v>
      </c>
      <c r="CA90" s="607">
        <f t="shared" si="165"/>
        <v>0</v>
      </c>
      <c r="CB90" s="607">
        <f t="shared" si="183"/>
        <v>0</v>
      </c>
      <c r="CC90" s="607">
        <f t="shared" si="166"/>
        <v>0</v>
      </c>
      <c r="CD90" s="607">
        <f t="shared" si="167"/>
        <v>0</v>
      </c>
      <c r="CE90" s="607">
        <f t="shared" si="168"/>
        <v>0</v>
      </c>
      <c r="CF90" s="607">
        <f t="shared" si="169"/>
        <v>0</v>
      </c>
      <c r="CG90" s="607">
        <f t="shared" si="170"/>
        <v>0</v>
      </c>
      <c r="CH90" s="607">
        <f t="shared" si="171"/>
        <v>15144630.9</v>
      </c>
      <c r="CI90" s="609"/>
      <c r="CK90" s="610" t="str">
        <f t="shared" si="184"/>
        <v/>
      </c>
      <c r="CL90" s="611" t="str">
        <f>IF(CK90="","",COUNTIFS($CK$16:CK90,"Yes")+MAX(State!AD:AD))</f>
        <v/>
      </c>
      <c r="CM90" s="612" t="b">
        <f>IF(C90="", "", AND(INDEX('Summary Dynamic'!$D$8:$D$10, MATCH(H90, 'Summary Dynamic'!$C$8:$C$10, 0))="Include", INDEX('Summary Dynamic'!$D$12:$D$14, MATCH(I90, 'Summary Dynamic'!$C$12:$C$14, 0))="Include", INDEX('Summary Dynamic'!$D$16:$D$17, MATCH(J90, 'Summary Dynamic'!$C$16:$C$17, 0))="Include", INDEX('Summary Dynamic'!$D$19:$D$20, MATCH(K90, 'Summary Dynamic'!$C$19:$C$20, 0))="Include", INDEX('Summary Dynamic'!$D$25:$D$26, MATCH(L90, 'Summary Dynamic'!$C$25:$C$26, 0))="Include",'Summary Dynamic'!$D$23="Include"))</f>
        <v>1</v>
      </c>
      <c r="CN90" s="613">
        <f>IFERROR(IF(CM90=TRUE, COUNTIFS($CM$16:CM90, TRUE), ""), "")</f>
        <v>75</v>
      </c>
      <c r="CP90" s="614" t="str">
        <f t="shared" si="172"/>
        <v>Non-Rural Private</v>
      </c>
      <c r="CY90" s="615"/>
      <c r="CZ90" s="616"/>
    </row>
    <row r="91" spans="2:104" x14ac:dyDescent="0.25">
      <c r="B91" s="617">
        <f t="shared" si="173"/>
        <v>76</v>
      </c>
      <c r="C91" s="593" t="s">
        <v>721</v>
      </c>
      <c r="D91" s="594" t="s">
        <v>721</v>
      </c>
      <c r="E91" s="594" t="s">
        <v>722</v>
      </c>
      <c r="F91" s="407" t="s">
        <v>723</v>
      </c>
      <c r="G91" s="408" t="s">
        <v>724</v>
      </c>
      <c r="H91" s="408" t="s">
        <v>22</v>
      </c>
      <c r="I91" s="408" t="s">
        <v>26</v>
      </c>
      <c r="J91" s="408" t="s">
        <v>31</v>
      </c>
      <c r="K91" s="408" t="s">
        <v>35</v>
      </c>
      <c r="L91" s="408" t="s">
        <v>35</v>
      </c>
      <c r="M91" s="408" t="s">
        <v>35</v>
      </c>
      <c r="N91" s="595" t="str">
        <f t="shared" si="127"/>
        <v>No</v>
      </c>
      <c r="O91" s="596">
        <v>774</v>
      </c>
      <c r="P91" s="596">
        <v>2637</v>
      </c>
      <c r="Q91" s="597">
        <v>0.13325856210517123</v>
      </c>
      <c r="R91" s="596">
        <f t="shared" si="174"/>
        <v>351.40282827133655</v>
      </c>
      <c r="S91" s="596">
        <f t="shared" si="175"/>
        <v>1125.4028282713366</v>
      </c>
      <c r="T91" s="596">
        <f t="shared" si="128"/>
        <v>1125.4028282713366</v>
      </c>
      <c r="U91" s="598">
        <f t="shared" si="176"/>
        <v>2.6329060065482894E-4</v>
      </c>
      <c r="V91" s="599">
        <f t="shared" si="185"/>
        <v>0</v>
      </c>
      <c r="W91" s="600">
        <v>1635491.2245403992</v>
      </c>
      <c r="X91" s="600">
        <v>0</v>
      </c>
      <c r="Y91" s="600">
        <v>444167.84837797936</v>
      </c>
      <c r="Z91" s="600">
        <f t="shared" si="177"/>
        <v>0</v>
      </c>
      <c r="AA91" s="600">
        <f t="shared" si="178"/>
        <v>1635491.2245403992</v>
      </c>
      <c r="AB91" s="622">
        <f t="shared" si="129"/>
        <v>0</v>
      </c>
      <c r="AC91" s="599">
        <v>687323.64039342722</v>
      </c>
      <c r="AD91" s="599">
        <f>MAX(IF(M91="Yes",'Assumption Inputs'!$C$40,'Assumption Inputs'!$C$41),AC91)</f>
        <v>6000000</v>
      </c>
      <c r="AE91" s="599">
        <f t="shared" si="186"/>
        <v>1060943.157359357</v>
      </c>
      <c r="AF91" s="599">
        <f t="shared" si="130"/>
        <v>0</v>
      </c>
      <c r="AG91" s="599">
        <f t="shared" si="187"/>
        <v>0</v>
      </c>
      <c r="AH91" s="599">
        <f t="shared" si="188"/>
        <v>1060943.157359357</v>
      </c>
      <c r="AI91" s="599">
        <v>4174494.8599857963</v>
      </c>
      <c r="AJ91" s="599">
        <v>3599946.7928047534</v>
      </c>
      <c r="AK91" s="602">
        <f t="shared" si="179"/>
        <v>0.86236704404925346</v>
      </c>
      <c r="AL91" s="603">
        <f t="shared" si="131"/>
        <v>0</v>
      </c>
      <c r="AM91" s="600">
        <f t="shared" si="180"/>
        <v>1060943.157359357</v>
      </c>
      <c r="AN91" s="600">
        <f t="shared" si="132"/>
        <v>1060943.157359357</v>
      </c>
      <c r="AO91" s="600">
        <f t="shared" si="133"/>
        <v>0</v>
      </c>
      <c r="AP91" s="600">
        <f t="shared" si="134"/>
        <v>574548.06718104216</v>
      </c>
      <c r="AQ91" s="600">
        <f t="shared" si="181"/>
        <v>0</v>
      </c>
      <c r="AR91" s="600">
        <f t="shared" si="182"/>
        <v>1060943.157359357</v>
      </c>
      <c r="AS91" s="604">
        <f t="shared" si="135"/>
        <v>0</v>
      </c>
      <c r="AT91" s="605">
        <f t="shared" si="136"/>
        <v>0</v>
      </c>
      <c r="AU91" s="600">
        <f t="shared" si="137"/>
        <v>1060943.157359357</v>
      </c>
      <c r="AV91" s="600">
        <f t="shared" si="138"/>
        <v>1060943.157359357</v>
      </c>
      <c r="AW91" s="600">
        <f t="shared" si="139"/>
        <v>0</v>
      </c>
      <c r="AX91" s="600">
        <f t="shared" si="140"/>
        <v>574548.06718104216</v>
      </c>
      <c r="AY91" s="600">
        <f t="shared" si="141"/>
        <v>1.1304515857820079E-12</v>
      </c>
      <c r="AZ91" s="600">
        <f t="shared" si="142"/>
        <v>1060943.157359357</v>
      </c>
      <c r="BA91" s="600">
        <f t="shared" si="143"/>
        <v>0</v>
      </c>
      <c r="BB91" s="600">
        <f t="shared" si="144"/>
        <v>0</v>
      </c>
      <c r="BC91" s="600">
        <f t="shared" si="145"/>
        <v>0</v>
      </c>
      <c r="BD91" s="600">
        <f t="shared" si="146"/>
        <v>0</v>
      </c>
      <c r="BE91" s="600">
        <f t="shared" si="147"/>
        <v>574548.06718104216</v>
      </c>
      <c r="BF91" s="600">
        <f t="shared" si="148"/>
        <v>1060943.157359357</v>
      </c>
      <c r="BG91" s="600">
        <v>0</v>
      </c>
      <c r="BH91" s="600">
        <v>0</v>
      </c>
      <c r="BI91" s="600">
        <f t="shared" si="149"/>
        <v>0</v>
      </c>
      <c r="BJ91" s="600">
        <f t="shared" si="150"/>
        <v>1060943.1599999999</v>
      </c>
      <c r="BK91" s="600">
        <f t="shared" si="151"/>
        <v>372709.33210799989</v>
      </c>
      <c r="BL91" s="600">
        <v>1060943.1599999999</v>
      </c>
      <c r="BM91" s="600">
        <f t="shared" si="152"/>
        <v>0</v>
      </c>
      <c r="BN91" s="600">
        <f t="shared" si="153"/>
        <v>0</v>
      </c>
      <c r="BO91" s="600">
        <f t="shared" si="154"/>
        <v>0</v>
      </c>
      <c r="BP91" s="600">
        <f t="shared" si="155"/>
        <v>372709.33210799989</v>
      </c>
      <c r="BQ91" s="600">
        <f t="shared" si="156"/>
        <v>0</v>
      </c>
      <c r="BR91" s="600">
        <f t="shared" si="157"/>
        <v>0</v>
      </c>
      <c r="BT91" s="606">
        <f t="shared" si="158"/>
        <v>1</v>
      </c>
      <c r="BU91" s="607">
        <f t="shared" si="159"/>
        <v>0</v>
      </c>
      <c r="BV91" s="606">
        <f t="shared" si="160"/>
        <v>1.1165159160887341</v>
      </c>
      <c r="BW91" s="607">
        <f t="shared" si="161"/>
        <v>0</v>
      </c>
      <c r="BX91" s="607">
        <f t="shared" si="162"/>
        <v>0</v>
      </c>
      <c r="BY91" s="607">
        <f t="shared" si="163"/>
        <v>0</v>
      </c>
      <c r="BZ91" s="607">
        <f t="shared" si="164"/>
        <v>0</v>
      </c>
      <c r="CA91" s="607">
        <f t="shared" si="165"/>
        <v>0</v>
      </c>
      <c r="CB91" s="607">
        <f t="shared" si="183"/>
        <v>0</v>
      </c>
      <c r="CC91" s="607">
        <f t="shared" si="166"/>
        <v>201838.73600070007</v>
      </c>
      <c r="CD91" s="607">
        <f t="shared" si="167"/>
        <v>574548.06718104216</v>
      </c>
      <c r="CE91" s="607">
        <f t="shared" si="168"/>
        <v>574548.06718104216</v>
      </c>
      <c r="CF91" s="607">
        <f t="shared" si="169"/>
        <v>276916.64</v>
      </c>
      <c r="CG91" s="607">
        <f t="shared" si="170"/>
        <v>0</v>
      </c>
      <c r="CH91" s="607">
        <f t="shared" si="171"/>
        <v>1337859.7999999998</v>
      </c>
      <c r="CI91" s="609"/>
      <c r="CK91" s="610" t="str">
        <f t="shared" si="184"/>
        <v/>
      </c>
      <c r="CL91" s="611" t="str">
        <f>IF(CK91="","",COUNTIFS($CK$16:CK91,"Yes")+MAX(State!AD:AD))</f>
        <v/>
      </c>
      <c r="CM91" s="612" t="b">
        <f>IF(C91="", "", AND(INDEX('Summary Dynamic'!$D$8:$D$10, MATCH(H91, 'Summary Dynamic'!$C$8:$C$10, 0))="Include", INDEX('Summary Dynamic'!$D$12:$D$14, MATCH(I91, 'Summary Dynamic'!$C$12:$C$14, 0))="Include", INDEX('Summary Dynamic'!$D$16:$D$17, MATCH(J91, 'Summary Dynamic'!$C$16:$C$17, 0))="Include", INDEX('Summary Dynamic'!$D$19:$D$20, MATCH(K91, 'Summary Dynamic'!$C$19:$C$20, 0))="Include", INDEX('Summary Dynamic'!$D$25:$D$26, MATCH(L91, 'Summary Dynamic'!$C$25:$C$26, 0))="Include",'Summary Dynamic'!$D$23="Include"))</f>
        <v>1</v>
      </c>
      <c r="CN91" s="613">
        <f>IFERROR(IF(CM91=TRUE, COUNTIFS($CM$16:CM91, TRUE), ""), "")</f>
        <v>76</v>
      </c>
      <c r="CP91" s="614" t="str">
        <f t="shared" si="172"/>
        <v>Rural Private</v>
      </c>
      <c r="CY91" s="615"/>
      <c r="CZ91" s="616"/>
    </row>
    <row r="92" spans="2:104" x14ac:dyDescent="0.25">
      <c r="B92" s="617">
        <f t="shared" si="173"/>
        <v>77</v>
      </c>
      <c r="C92" s="593" t="s">
        <v>725</v>
      </c>
      <c r="D92" s="594" t="s">
        <v>725</v>
      </c>
      <c r="E92" s="594" t="s">
        <v>726</v>
      </c>
      <c r="F92" s="407" t="s">
        <v>727</v>
      </c>
      <c r="G92" s="408" t="s">
        <v>516</v>
      </c>
      <c r="H92" s="408" t="s">
        <v>22</v>
      </c>
      <c r="I92" s="408" t="s">
        <v>26</v>
      </c>
      <c r="J92" s="408" t="s">
        <v>35</v>
      </c>
      <c r="K92" s="408" t="s">
        <v>35</v>
      </c>
      <c r="L92" s="408" t="s">
        <v>35</v>
      </c>
      <c r="M92" s="408" t="s">
        <v>37</v>
      </c>
      <c r="N92" s="595" t="str">
        <f t="shared" si="127"/>
        <v>No</v>
      </c>
      <c r="O92" s="596">
        <v>6958</v>
      </c>
      <c r="P92" s="596">
        <v>27775</v>
      </c>
      <c r="Q92" s="597">
        <v>0.1818861856730235</v>
      </c>
      <c r="R92" s="596">
        <f t="shared" si="174"/>
        <v>5051.8888070682278</v>
      </c>
      <c r="S92" s="596">
        <f t="shared" si="175"/>
        <v>12009.888807068228</v>
      </c>
      <c r="T92" s="596">
        <f t="shared" si="128"/>
        <v>12009.888807068228</v>
      </c>
      <c r="U92" s="598">
        <f t="shared" si="176"/>
        <v>2.8097413285052761E-3</v>
      </c>
      <c r="V92" s="599">
        <f t="shared" si="185"/>
        <v>0</v>
      </c>
      <c r="W92" s="600">
        <v>2357795.5893494976</v>
      </c>
      <c r="X92" s="600">
        <v>0</v>
      </c>
      <c r="Y92" s="600">
        <v>4460016.7115368349</v>
      </c>
      <c r="Z92" s="600">
        <f t="shared" si="177"/>
        <v>0</v>
      </c>
      <c r="AA92" s="600">
        <f t="shared" si="178"/>
        <v>2357795.5893494976</v>
      </c>
      <c r="AB92" s="601">
        <f t="shared" si="129"/>
        <v>0</v>
      </c>
      <c r="AC92" s="599">
        <v>0</v>
      </c>
      <c r="AD92" s="599">
        <f>MAX(IF(M92="Yes",'Assumption Inputs'!$C$40,'Assumption Inputs'!$C$41),AC92)</f>
        <v>8000000</v>
      </c>
      <c r="AE92" s="599">
        <f t="shared" si="186"/>
        <v>1529501.9988110194</v>
      </c>
      <c r="AF92" s="599">
        <f t="shared" si="130"/>
        <v>0</v>
      </c>
      <c r="AG92" s="599">
        <f t="shared" si="187"/>
        <v>0</v>
      </c>
      <c r="AH92" s="599">
        <f t="shared" si="188"/>
        <v>1529501.9988110194</v>
      </c>
      <c r="AI92" s="599">
        <v>40602532.581437074</v>
      </c>
      <c r="AJ92" s="599">
        <v>39774238.990898594</v>
      </c>
      <c r="AK92" s="602">
        <f t="shared" si="179"/>
        <v>0.97959995256756072</v>
      </c>
      <c r="AL92" s="603">
        <f t="shared" si="131"/>
        <v>0</v>
      </c>
      <c r="AM92" s="600">
        <f t="shared" si="180"/>
        <v>1529501.9988110194</v>
      </c>
      <c r="AN92" s="600">
        <f t="shared" si="132"/>
        <v>1529501.9988110194</v>
      </c>
      <c r="AO92" s="600">
        <f t="shared" si="133"/>
        <v>0</v>
      </c>
      <c r="AP92" s="600">
        <f t="shared" si="134"/>
        <v>828293.59053847822</v>
      </c>
      <c r="AQ92" s="600">
        <f t="shared" si="181"/>
        <v>0</v>
      </c>
      <c r="AR92" s="600">
        <f t="shared" si="182"/>
        <v>1529501.9988110194</v>
      </c>
      <c r="AS92" s="604">
        <f t="shared" si="135"/>
        <v>0</v>
      </c>
      <c r="AT92" s="605">
        <f t="shared" si="136"/>
        <v>0</v>
      </c>
      <c r="AU92" s="600">
        <f t="shared" si="137"/>
        <v>1529501.9988110194</v>
      </c>
      <c r="AV92" s="600">
        <f t="shared" si="138"/>
        <v>1529501.9988110194</v>
      </c>
      <c r="AW92" s="600">
        <f t="shared" si="139"/>
        <v>0</v>
      </c>
      <c r="AX92" s="600">
        <f t="shared" si="140"/>
        <v>828293.59053847822</v>
      </c>
      <c r="AY92" s="600">
        <f t="shared" si="141"/>
        <v>1.6297083854295692E-12</v>
      </c>
      <c r="AZ92" s="600">
        <f t="shared" si="142"/>
        <v>1529501.9988110194</v>
      </c>
      <c r="BA92" s="600">
        <f t="shared" si="143"/>
        <v>0</v>
      </c>
      <c r="BB92" s="600">
        <f t="shared" si="144"/>
        <v>0</v>
      </c>
      <c r="BC92" s="600">
        <f t="shared" si="145"/>
        <v>0</v>
      </c>
      <c r="BD92" s="600">
        <f t="shared" si="146"/>
        <v>0</v>
      </c>
      <c r="BE92" s="600">
        <f t="shared" si="147"/>
        <v>828293.59053847822</v>
      </c>
      <c r="BF92" s="600">
        <f t="shared" si="148"/>
        <v>1529501.9988110194</v>
      </c>
      <c r="BG92" s="600">
        <v>0</v>
      </c>
      <c r="BH92" s="600">
        <v>0</v>
      </c>
      <c r="BI92" s="600">
        <f t="shared" si="149"/>
        <v>0</v>
      </c>
      <c r="BJ92" s="600">
        <f t="shared" si="150"/>
        <v>1529502</v>
      </c>
      <c r="BK92" s="600">
        <f t="shared" si="151"/>
        <v>537314.05259999994</v>
      </c>
      <c r="BL92" s="600">
        <v>1529502</v>
      </c>
      <c r="BM92" s="600">
        <f t="shared" si="152"/>
        <v>0</v>
      </c>
      <c r="BN92" s="600">
        <f t="shared" si="153"/>
        <v>0</v>
      </c>
      <c r="BO92" s="600">
        <f t="shared" si="154"/>
        <v>0</v>
      </c>
      <c r="BP92" s="600">
        <f t="shared" si="155"/>
        <v>537314.05259999994</v>
      </c>
      <c r="BQ92" s="600">
        <f t="shared" si="156"/>
        <v>0</v>
      </c>
      <c r="BR92" s="600">
        <f t="shared" si="157"/>
        <v>0</v>
      </c>
      <c r="BT92" s="606">
        <f t="shared" si="158"/>
        <v>1</v>
      </c>
      <c r="BU92" s="607">
        <f t="shared" si="159"/>
        <v>0</v>
      </c>
      <c r="BV92" s="606">
        <f t="shared" si="160"/>
        <v>1</v>
      </c>
      <c r="BW92" s="607">
        <f t="shared" si="161"/>
        <v>0</v>
      </c>
      <c r="BX92" s="607">
        <f t="shared" si="162"/>
        <v>0</v>
      </c>
      <c r="BY92" s="607">
        <f t="shared" si="163"/>
        <v>0</v>
      </c>
      <c r="BZ92" s="607">
        <f t="shared" si="164"/>
        <v>0</v>
      </c>
      <c r="CA92" s="607">
        <f t="shared" si="165"/>
        <v>0</v>
      </c>
      <c r="CB92" s="607">
        <f t="shared" si="183"/>
        <v>0</v>
      </c>
      <c r="CC92" s="607">
        <f t="shared" si="166"/>
        <v>0</v>
      </c>
      <c r="CD92" s="607">
        <f t="shared" si="167"/>
        <v>0</v>
      </c>
      <c r="CE92" s="607">
        <f t="shared" si="168"/>
        <v>0</v>
      </c>
      <c r="CF92" s="607">
        <f t="shared" si="169"/>
        <v>0</v>
      </c>
      <c r="CG92" s="607">
        <f t="shared" si="170"/>
        <v>0</v>
      </c>
      <c r="CH92" s="607">
        <f t="shared" si="171"/>
        <v>1529502</v>
      </c>
      <c r="CI92" s="609"/>
      <c r="CK92" s="610" t="str">
        <f t="shared" si="184"/>
        <v/>
      </c>
      <c r="CL92" s="611" t="str">
        <f>IF(CK92="","",COUNTIFS($CK$16:CK92,"Yes")+MAX(State!AD:AD))</f>
        <v/>
      </c>
      <c r="CM92" s="612" t="b">
        <f>IF(C92="", "", AND(INDEX('Summary Dynamic'!$D$8:$D$10, MATCH(H92, 'Summary Dynamic'!$C$8:$C$10, 0))="Include", INDEX('Summary Dynamic'!$D$12:$D$14, MATCH(I92, 'Summary Dynamic'!$C$12:$C$14, 0))="Include", INDEX('Summary Dynamic'!$D$16:$D$17, MATCH(J92, 'Summary Dynamic'!$C$16:$C$17, 0))="Include", INDEX('Summary Dynamic'!$D$19:$D$20, MATCH(K92, 'Summary Dynamic'!$C$19:$C$20, 0))="Include", INDEX('Summary Dynamic'!$D$25:$D$26, MATCH(L92, 'Summary Dynamic'!$C$25:$C$26, 0))="Include",'Summary Dynamic'!$D$23="Include"))</f>
        <v>1</v>
      </c>
      <c r="CN92" s="613">
        <f>IFERROR(IF(CM92=TRUE, COUNTIFS($CM$16:CM92, TRUE), ""), "")</f>
        <v>77</v>
      </c>
      <c r="CP92" s="614" t="str">
        <f t="shared" si="172"/>
        <v>Non-Rural Private</v>
      </c>
      <c r="CY92" s="615"/>
      <c r="CZ92" s="616"/>
    </row>
    <row r="93" spans="2:104" x14ac:dyDescent="0.25">
      <c r="B93" s="617">
        <f t="shared" si="173"/>
        <v>78</v>
      </c>
      <c r="C93" s="593" t="s">
        <v>728</v>
      </c>
      <c r="D93" s="594" t="s">
        <v>728</v>
      </c>
      <c r="E93" s="594" t="s">
        <v>729</v>
      </c>
      <c r="F93" s="407" t="s">
        <v>730</v>
      </c>
      <c r="G93" s="408" t="s">
        <v>485</v>
      </c>
      <c r="H93" s="408" t="s">
        <v>22</v>
      </c>
      <c r="I93" s="408" t="s">
        <v>26</v>
      </c>
      <c r="J93" s="408" t="s">
        <v>35</v>
      </c>
      <c r="K93" s="408" t="s">
        <v>35</v>
      </c>
      <c r="L93" s="408" t="s">
        <v>35</v>
      </c>
      <c r="M93" s="408" t="s">
        <v>37</v>
      </c>
      <c r="N93" s="595" t="str">
        <f t="shared" si="127"/>
        <v>No</v>
      </c>
      <c r="O93" s="596">
        <v>26086</v>
      </c>
      <c r="P93" s="596">
        <v>120514</v>
      </c>
      <c r="Q93" s="597">
        <v>8.96072888336365E-2</v>
      </c>
      <c r="R93" s="596">
        <f t="shared" si="174"/>
        <v>10798.932806496869</v>
      </c>
      <c r="S93" s="596">
        <f t="shared" si="175"/>
        <v>36884.932806496872</v>
      </c>
      <c r="T93" s="596">
        <f t="shared" si="128"/>
        <v>36884.932806496872</v>
      </c>
      <c r="U93" s="598">
        <f t="shared" si="176"/>
        <v>8.6293155390881216E-3</v>
      </c>
      <c r="V93" s="599">
        <f t="shared" si="185"/>
        <v>0</v>
      </c>
      <c r="W93" s="600">
        <v>38128734.897054821</v>
      </c>
      <c r="X93" s="600">
        <v>0</v>
      </c>
      <c r="Y93" s="600">
        <v>4039211.1650723834</v>
      </c>
      <c r="Z93" s="600">
        <f t="shared" si="177"/>
        <v>0</v>
      </c>
      <c r="AA93" s="600">
        <f t="shared" si="178"/>
        <v>38128734.897054821</v>
      </c>
      <c r="AB93" s="601">
        <f t="shared" si="129"/>
        <v>0</v>
      </c>
      <c r="AC93" s="599">
        <v>15680973.337681718</v>
      </c>
      <c r="AD93" s="599">
        <f>MAX(IF(M93="Yes",'Assumption Inputs'!$C$40,'Assumption Inputs'!$C$41),AC93)</f>
        <v>15680973.337681718</v>
      </c>
      <c r="AE93" s="599">
        <f t="shared" si="186"/>
        <v>15680973.337681718</v>
      </c>
      <c r="AF93" s="599">
        <f t="shared" si="130"/>
        <v>0</v>
      </c>
      <c r="AG93" s="599">
        <f t="shared" si="187"/>
        <v>0</v>
      </c>
      <c r="AH93" s="599">
        <f t="shared" si="188"/>
        <v>15680973.337681718</v>
      </c>
      <c r="AI93" s="599">
        <v>95856108.926374555</v>
      </c>
      <c r="AJ93" s="599">
        <v>73408347.367001444</v>
      </c>
      <c r="AK93" s="602">
        <f t="shared" si="179"/>
        <v>0.76581814335260723</v>
      </c>
      <c r="AL93" s="603">
        <f t="shared" si="131"/>
        <v>0</v>
      </c>
      <c r="AM93" s="600">
        <f t="shared" si="180"/>
        <v>15680973.337681718</v>
      </c>
      <c r="AN93" s="600">
        <f t="shared" si="132"/>
        <v>15680973.337681718</v>
      </c>
      <c r="AO93" s="600">
        <f t="shared" si="133"/>
        <v>0</v>
      </c>
      <c r="AP93" s="600">
        <f t="shared" si="134"/>
        <v>22447761.559373103</v>
      </c>
      <c r="AQ93" s="600">
        <f t="shared" si="181"/>
        <v>0</v>
      </c>
      <c r="AR93" s="600">
        <f t="shared" si="182"/>
        <v>15680973.337681718</v>
      </c>
      <c r="AS93" s="604">
        <f t="shared" si="135"/>
        <v>0</v>
      </c>
      <c r="AT93" s="605">
        <f t="shared" si="136"/>
        <v>0</v>
      </c>
      <c r="AU93" s="600">
        <f t="shared" si="137"/>
        <v>15680973.337681718</v>
      </c>
      <c r="AV93" s="600">
        <f t="shared" si="138"/>
        <v>15680973.337681718</v>
      </c>
      <c r="AW93" s="600">
        <f t="shared" si="139"/>
        <v>0</v>
      </c>
      <c r="AX93" s="600">
        <f t="shared" si="140"/>
        <v>22447761.559373103</v>
      </c>
      <c r="AY93" s="600">
        <f t="shared" si="141"/>
        <v>4.4167075135340454E-11</v>
      </c>
      <c r="AZ93" s="600">
        <f t="shared" si="142"/>
        <v>15680973.337681718</v>
      </c>
      <c r="BA93" s="600">
        <f t="shared" si="143"/>
        <v>0</v>
      </c>
      <c r="BB93" s="600">
        <f t="shared" si="144"/>
        <v>0</v>
      </c>
      <c r="BC93" s="600">
        <f t="shared" si="145"/>
        <v>0</v>
      </c>
      <c r="BD93" s="600">
        <f t="shared" si="146"/>
        <v>0</v>
      </c>
      <c r="BE93" s="600">
        <f t="shared" si="147"/>
        <v>22447761.559373103</v>
      </c>
      <c r="BF93" s="600">
        <f t="shared" si="148"/>
        <v>15680973.337681718</v>
      </c>
      <c r="BG93" s="600">
        <v>0</v>
      </c>
      <c r="BH93" s="600">
        <v>0</v>
      </c>
      <c r="BI93" s="600">
        <f t="shared" si="149"/>
        <v>0</v>
      </c>
      <c r="BJ93" s="600">
        <f t="shared" si="150"/>
        <v>15680973.34</v>
      </c>
      <c r="BK93" s="600">
        <f t="shared" si="151"/>
        <v>5508725.9343419988</v>
      </c>
      <c r="BL93" s="600">
        <v>15680973.34</v>
      </c>
      <c r="BM93" s="600">
        <f t="shared" si="152"/>
        <v>0</v>
      </c>
      <c r="BN93" s="600">
        <f t="shared" si="153"/>
        <v>0</v>
      </c>
      <c r="BO93" s="600">
        <f t="shared" si="154"/>
        <v>0</v>
      </c>
      <c r="BP93" s="600">
        <f t="shared" si="155"/>
        <v>5508725.9343419988</v>
      </c>
      <c r="BQ93" s="600">
        <f t="shared" si="156"/>
        <v>0</v>
      </c>
      <c r="BR93" s="600">
        <f t="shared" si="157"/>
        <v>0</v>
      </c>
      <c r="BT93" s="606">
        <f t="shared" si="158"/>
        <v>1</v>
      </c>
      <c r="BU93" s="607">
        <f t="shared" si="159"/>
        <v>0</v>
      </c>
      <c r="BV93" s="606">
        <f t="shared" si="160"/>
        <v>1</v>
      </c>
      <c r="BW93" s="607">
        <f t="shared" si="161"/>
        <v>0</v>
      </c>
      <c r="BX93" s="607">
        <f t="shared" si="162"/>
        <v>0</v>
      </c>
      <c r="BY93" s="607">
        <f t="shared" si="163"/>
        <v>0</v>
      </c>
      <c r="BZ93" s="607">
        <f t="shared" si="164"/>
        <v>0</v>
      </c>
      <c r="CA93" s="607">
        <f t="shared" si="165"/>
        <v>0</v>
      </c>
      <c r="CB93" s="607">
        <f t="shared" si="183"/>
        <v>0</v>
      </c>
      <c r="CC93" s="607">
        <f t="shared" si="166"/>
        <v>0</v>
      </c>
      <c r="CD93" s="607">
        <f t="shared" si="167"/>
        <v>0</v>
      </c>
      <c r="CE93" s="607">
        <f t="shared" si="168"/>
        <v>0</v>
      </c>
      <c r="CF93" s="607">
        <f t="shared" si="169"/>
        <v>0</v>
      </c>
      <c r="CG93" s="607">
        <f t="shared" si="170"/>
        <v>0</v>
      </c>
      <c r="CH93" s="607">
        <f t="shared" si="171"/>
        <v>15680973.34</v>
      </c>
      <c r="CI93" s="609"/>
      <c r="CK93" s="610" t="str">
        <f t="shared" si="184"/>
        <v/>
      </c>
      <c r="CL93" s="611" t="str">
        <f>IF(CK93="","",COUNTIFS($CK$16:CK93,"Yes")+MAX(State!AD:AD))</f>
        <v/>
      </c>
      <c r="CM93" s="612" t="b">
        <f>IF(C93="", "", AND(INDEX('Summary Dynamic'!$D$8:$D$10, MATCH(H93, 'Summary Dynamic'!$C$8:$C$10, 0))="Include", INDEX('Summary Dynamic'!$D$12:$D$14, MATCH(I93, 'Summary Dynamic'!$C$12:$C$14, 0))="Include", INDEX('Summary Dynamic'!$D$16:$D$17, MATCH(J93, 'Summary Dynamic'!$C$16:$C$17, 0))="Include", INDEX('Summary Dynamic'!$D$19:$D$20, MATCH(K93, 'Summary Dynamic'!$C$19:$C$20, 0))="Include", INDEX('Summary Dynamic'!$D$25:$D$26, MATCH(L93, 'Summary Dynamic'!$C$25:$C$26, 0))="Include",'Summary Dynamic'!$D$23="Include"))</f>
        <v>1</v>
      </c>
      <c r="CN93" s="613">
        <f>IFERROR(IF(CM93=TRUE, COUNTIFS($CM$16:CM93, TRUE), ""), "")</f>
        <v>78</v>
      </c>
      <c r="CP93" s="614" t="str">
        <f t="shared" si="172"/>
        <v>Non-Rural Private</v>
      </c>
      <c r="CY93" s="615"/>
      <c r="CZ93" s="616"/>
    </row>
    <row r="94" spans="2:104" x14ac:dyDescent="0.25">
      <c r="B94" s="617">
        <f t="shared" si="173"/>
        <v>79</v>
      </c>
      <c r="C94" s="593" t="s">
        <v>731</v>
      </c>
      <c r="D94" s="594" t="s">
        <v>731</v>
      </c>
      <c r="E94" s="594" t="s">
        <v>732</v>
      </c>
      <c r="F94" s="407" t="s">
        <v>733</v>
      </c>
      <c r="G94" s="408" t="s">
        <v>284</v>
      </c>
      <c r="H94" s="408" t="s">
        <v>22</v>
      </c>
      <c r="I94" s="408" t="s">
        <v>26</v>
      </c>
      <c r="J94" s="408" t="s">
        <v>35</v>
      </c>
      <c r="K94" s="408" t="s">
        <v>35</v>
      </c>
      <c r="L94" s="408" t="s">
        <v>35</v>
      </c>
      <c r="M94" s="408" t="s">
        <v>37</v>
      </c>
      <c r="N94" s="595" t="str">
        <f t="shared" si="127"/>
        <v>No</v>
      </c>
      <c r="O94" s="596">
        <v>23450</v>
      </c>
      <c r="P94" s="596">
        <v>103906</v>
      </c>
      <c r="Q94" s="597">
        <v>0.12182606449262567</v>
      </c>
      <c r="R94" s="596">
        <f t="shared" si="174"/>
        <v>12658.459057170763</v>
      </c>
      <c r="S94" s="596">
        <f t="shared" si="175"/>
        <v>36108.459057170767</v>
      </c>
      <c r="T94" s="596">
        <f t="shared" si="128"/>
        <v>36108.459057170767</v>
      </c>
      <c r="U94" s="598">
        <f t="shared" si="176"/>
        <v>8.4476577053622173E-3</v>
      </c>
      <c r="V94" s="599">
        <f t="shared" si="185"/>
        <v>0</v>
      </c>
      <c r="W94" s="600">
        <v>49634890.299904861</v>
      </c>
      <c r="X94" s="600">
        <v>0</v>
      </c>
      <c r="Y94" s="600">
        <v>17476973.120654203</v>
      </c>
      <c r="Z94" s="600">
        <f t="shared" si="177"/>
        <v>0</v>
      </c>
      <c r="AA94" s="600">
        <f t="shared" si="178"/>
        <v>49634890.299904861</v>
      </c>
      <c r="AB94" s="601">
        <f t="shared" si="129"/>
        <v>0</v>
      </c>
      <c r="AC94" s="599">
        <v>2763315.4721641103</v>
      </c>
      <c r="AD94" s="599">
        <f>MAX(IF(M94="Yes",'Assumption Inputs'!$C$40,'Assumption Inputs'!$C$41),AC94)</f>
        <v>8000000</v>
      </c>
      <c r="AE94" s="599">
        <f t="shared" si="186"/>
        <v>8000000</v>
      </c>
      <c r="AF94" s="599">
        <f t="shared" si="130"/>
        <v>0</v>
      </c>
      <c r="AG94" s="599">
        <f t="shared" si="187"/>
        <v>0</v>
      </c>
      <c r="AH94" s="599">
        <f t="shared" si="188"/>
        <v>8000000</v>
      </c>
      <c r="AI94" s="599">
        <v>121579912.34109193</v>
      </c>
      <c r="AJ94" s="599">
        <v>79945022.041187063</v>
      </c>
      <c r="AK94" s="602">
        <f t="shared" si="179"/>
        <v>0.65755123936018012</v>
      </c>
      <c r="AL94" s="603">
        <f t="shared" si="131"/>
        <v>0</v>
      </c>
      <c r="AM94" s="600">
        <f t="shared" si="180"/>
        <v>8000000</v>
      </c>
      <c r="AN94" s="600">
        <f t="shared" si="132"/>
        <v>8000000</v>
      </c>
      <c r="AO94" s="600">
        <f t="shared" si="133"/>
        <v>0</v>
      </c>
      <c r="AP94" s="600">
        <f t="shared" si="134"/>
        <v>41634890.299904861</v>
      </c>
      <c r="AQ94" s="600">
        <f t="shared" si="181"/>
        <v>0</v>
      </c>
      <c r="AR94" s="600">
        <f t="shared" si="182"/>
        <v>8000000</v>
      </c>
      <c r="AS94" s="604">
        <f t="shared" si="135"/>
        <v>0</v>
      </c>
      <c r="AT94" s="605">
        <f t="shared" si="136"/>
        <v>0</v>
      </c>
      <c r="AU94" s="600">
        <f t="shared" si="137"/>
        <v>8000000</v>
      </c>
      <c r="AV94" s="600">
        <f t="shared" si="138"/>
        <v>8000000</v>
      </c>
      <c r="AW94" s="600">
        <f t="shared" si="139"/>
        <v>0</v>
      </c>
      <c r="AX94" s="600">
        <f t="shared" si="140"/>
        <v>41634890.299904861</v>
      </c>
      <c r="AY94" s="600">
        <f t="shared" si="141"/>
        <v>8.1918694800093455E-11</v>
      </c>
      <c r="AZ94" s="600">
        <f t="shared" si="142"/>
        <v>8000000</v>
      </c>
      <c r="BA94" s="600">
        <f t="shared" si="143"/>
        <v>0</v>
      </c>
      <c r="BB94" s="600">
        <f t="shared" si="144"/>
        <v>0</v>
      </c>
      <c r="BC94" s="600">
        <f t="shared" si="145"/>
        <v>0</v>
      </c>
      <c r="BD94" s="600">
        <f t="shared" si="146"/>
        <v>0</v>
      </c>
      <c r="BE94" s="600">
        <f t="shared" si="147"/>
        <v>41634890.299904861</v>
      </c>
      <c r="BF94" s="600">
        <f t="shared" si="148"/>
        <v>8000000</v>
      </c>
      <c r="BG94" s="600">
        <v>0</v>
      </c>
      <c r="BH94" s="600">
        <v>0</v>
      </c>
      <c r="BI94" s="600">
        <f t="shared" si="149"/>
        <v>0</v>
      </c>
      <c r="BJ94" s="600">
        <f t="shared" si="150"/>
        <v>8000000</v>
      </c>
      <c r="BK94" s="600">
        <f t="shared" si="151"/>
        <v>2810399.9999999995</v>
      </c>
      <c r="BL94" s="600">
        <v>8000000</v>
      </c>
      <c r="BM94" s="600">
        <f t="shared" si="152"/>
        <v>0</v>
      </c>
      <c r="BN94" s="600">
        <f t="shared" si="153"/>
        <v>0</v>
      </c>
      <c r="BO94" s="600">
        <f t="shared" si="154"/>
        <v>0</v>
      </c>
      <c r="BP94" s="600">
        <f t="shared" si="155"/>
        <v>2810399.9999999995</v>
      </c>
      <c r="BQ94" s="600">
        <f t="shared" si="156"/>
        <v>0</v>
      </c>
      <c r="BR94" s="600">
        <f t="shared" si="157"/>
        <v>0</v>
      </c>
      <c r="BT94" s="606">
        <f t="shared" si="158"/>
        <v>1</v>
      </c>
      <c r="BU94" s="607">
        <f t="shared" si="159"/>
        <v>0</v>
      </c>
      <c r="BV94" s="606">
        <f t="shared" si="160"/>
        <v>1</v>
      </c>
      <c r="BW94" s="607">
        <f t="shared" si="161"/>
        <v>0</v>
      </c>
      <c r="BX94" s="607">
        <f t="shared" si="162"/>
        <v>0</v>
      </c>
      <c r="BY94" s="607">
        <f t="shared" si="163"/>
        <v>0</v>
      </c>
      <c r="BZ94" s="607">
        <f t="shared" si="164"/>
        <v>0</v>
      </c>
      <c r="CA94" s="607">
        <f t="shared" si="165"/>
        <v>0</v>
      </c>
      <c r="CB94" s="607">
        <f t="shared" si="183"/>
        <v>0</v>
      </c>
      <c r="CC94" s="607">
        <f t="shared" si="166"/>
        <v>0</v>
      </c>
      <c r="CD94" s="607">
        <f t="shared" si="167"/>
        <v>0</v>
      </c>
      <c r="CE94" s="607">
        <f t="shared" si="168"/>
        <v>0</v>
      </c>
      <c r="CF94" s="607">
        <f t="shared" si="169"/>
        <v>0</v>
      </c>
      <c r="CG94" s="607">
        <f t="shared" si="170"/>
        <v>0</v>
      </c>
      <c r="CH94" s="607">
        <f t="shared" si="171"/>
        <v>8000000</v>
      </c>
      <c r="CI94" s="609"/>
      <c r="CK94" s="610" t="str">
        <f t="shared" si="184"/>
        <v/>
      </c>
      <c r="CL94" s="611" t="str">
        <f>IF(CK94="","",COUNTIFS($CK$16:CK94,"Yes")+MAX(State!AD:AD))</f>
        <v/>
      </c>
      <c r="CM94" s="612" t="b">
        <f>IF(C94="", "", AND(INDEX('Summary Dynamic'!$D$8:$D$10, MATCH(H94, 'Summary Dynamic'!$C$8:$C$10, 0))="Include", INDEX('Summary Dynamic'!$D$12:$D$14, MATCH(I94, 'Summary Dynamic'!$C$12:$C$14, 0))="Include", INDEX('Summary Dynamic'!$D$16:$D$17, MATCH(J94, 'Summary Dynamic'!$C$16:$C$17, 0))="Include", INDEX('Summary Dynamic'!$D$19:$D$20, MATCH(K94, 'Summary Dynamic'!$C$19:$C$20, 0))="Include", INDEX('Summary Dynamic'!$D$25:$D$26, MATCH(L94, 'Summary Dynamic'!$C$25:$C$26, 0))="Include",'Summary Dynamic'!$D$23="Include"))</f>
        <v>1</v>
      </c>
      <c r="CN94" s="613">
        <f>IFERROR(IF(CM94=TRUE, COUNTIFS($CM$16:CM94, TRUE), ""), "")</f>
        <v>79</v>
      </c>
      <c r="CP94" s="614" t="str">
        <f t="shared" si="172"/>
        <v>Non-Rural Private</v>
      </c>
      <c r="CY94" s="615"/>
      <c r="CZ94" s="616"/>
    </row>
    <row r="95" spans="2:104" x14ac:dyDescent="0.25">
      <c r="B95" s="617">
        <f t="shared" si="173"/>
        <v>80</v>
      </c>
      <c r="C95" s="593" t="s">
        <v>734</v>
      </c>
      <c r="D95" s="594" t="s">
        <v>734</v>
      </c>
      <c r="E95" s="594" t="s">
        <v>735</v>
      </c>
      <c r="F95" s="407" t="s">
        <v>736</v>
      </c>
      <c r="G95" s="408" t="s">
        <v>737</v>
      </c>
      <c r="H95" s="408" t="s">
        <v>22</v>
      </c>
      <c r="I95" s="408" t="s">
        <v>26</v>
      </c>
      <c r="J95" s="408" t="s">
        <v>35</v>
      </c>
      <c r="K95" s="408" t="s">
        <v>35</v>
      </c>
      <c r="L95" s="408" t="s">
        <v>35</v>
      </c>
      <c r="M95" s="408" t="s">
        <v>35</v>
      </c>
      <c r="N95" s="595" t="str">
        <f t="shared" si="127"/>
        <v>No</v>
      </c>
      <c r="O95" s="596">
        <v>872</v>
      </c>
      <c r="P95" s="596">
        <v>6445</v>
      </c>
      <c r="Q95" s="597">
        <v>0.14818087101263389</v>
      </c>
      <c r="R95" s="596">
        <f t="shared" si="174"/>
        <v>955.02571367642543</v>
      </c>
      <c r="S95" s="596">
        <f t="shared" si="175"/>
        <v>1827.0257136764253</v>
      </c>
      <c r="T95" s="596">
        <f t="shared" si="128"/>
        <v>1827.0257136764253</v>
      </c>
      <c r="U95" s="598">
        <f t="shared" si="176"/>
        <v>4.2743690124235609E-4</v>
      </c>
      <c r="V95" s="599">
        <f t="shared" si="185"/>
        <v>0</v>
      </c>
      <c r="W95" s="600">
        <v>1053432.8160284671</v>
      </c>
      <c r="X95" s="600">
        <v>0</v>
      </c>
      <c r="Y95" s="600">
        <v>725473.75355376629</v>
      </c>
      <c r="Z95" s="600">
        <f t="shared" si="177"/>
        <v>0</v>
      </c>
      <c r="AA95" s="600">
        <f t="shared" si="178"/>
        <v>1053432.8160284671</v>
      </c>
      <c r="AB95" s="601">
        <f t="shared" si="129"/>
        <v>0</v>
      </c>
      <c r="AC95" s="599">
        <v>0</v>
      </c>
      <c r="AD95" s="599">
        <f>MAX(IF(M95="Yes",'Assumption Inputs'!$C$40,'Assumption Inputs'!$C$41),AC95)</f>
        <v>6000000</v>
      </c>
      <c r="AE95" s="599">
        <f t="shared" si="186"/>
        <v>683361.86775766674</v>
      </c>
      <c r="AF95" s="599">
        <f t="shared" si="130"/>
        <v>0</v>
      </c>
      <c r="AG95" s="599">
        <f t="shared" si="187"/>
        <v>0</v>
      </c>
      <c r="AH95" s="599">
        <f t="shared" si="188"/>
        <v>683361.86775766674</v>
      </c>
      <c r="AI95" s="599">
        <v>9248332.5735177621</v>
      </c>
      <c r="AJ95" s="599">
        <v>8878261.6252469607</v>
      </c>
      <c r="AK95" s="602">
        <f t="shared" si="179"/>
        <v>0.95998511674088305</v>
      </c>
      <c r="AL95" s="603">
        <f t="shared" si="131"/>
        <v>0</v>
      </c>
      <c r="AM95" s="600">
        <f t="shared" si="180"/>
        <v>683361.86775766674</v>
      </c>
      <c r="AN95" s="600">
        <f t="shared" si="132"/>
        <v>683361.86775766674</v>
      </c>
      <c r="AO95" s="600">
        <f t="shared" si="133"/>
        <v>0</v>
      </c>
      <c r="AP95" s="600">
        <f t="shared" si="134"/>
        <v>370070.94827080041</v>
      </c>
      <c r="AQ95" s="600">
        <f t="shared" si="181"/>
        <v>0</v>
      </c>
      <c r="AR95" s="600">
        <f t="shared" si="182"/>
        <v>683361.86775766674</v>
      </c>
      <c r="AS95" s="604">
        <f t="shared" si="135"/>
        <v>0</v>
      </c>
      <c r="AT95" s="605">
        <f t="shared" si="136"/>
        <v>0</v>
      </c>
      <c r="AU95" s="600">
        <f t="shared" si="137"/>
        <v>683361.86775766674</v>
      </c>
      <c r="AV95" s="600">
        <f t="shared" si="138"/>
        <v>683361.86775766674</v>
      </c>
      <c r="AW95" s="600">
        <f t="shared" si="139"/>
        <v>0</v>
      </c>
      <c r="AX95" s="600">
        <f t="shared" si="140"/>
        <v>370070.94827080041</v>
      </c>
      <c r="AY95" s="600">
        <f t="shared" si="141"/>
        <v>7.2813279553293676E-13</v>
      </c>
      <c r="AZ95" s="600">
        <f t="shared" si="142"/>
        <v>683361.86775766674</v>
      </c>
      <c r="BA95" s="600">
        <f t="shared" si="143"/>
        <v>0</v>
      </c>
      <c r="BB95" s="600">
        <f t="shared" si="144"/>
        <v>0</v>
      </c>
      <c r="BC95" s="600">
        <f t="shared" si="145"/>
        <v>0</v>
      </c>
      <c r="BD95" s="600">
        <f t="shared" si="146"/>
        <v>0</v>
      </c>
      <c r="BE95" s="600">
        <f t="shared" si="147"/>
        <v>370070.94827080041</v>
      </c>
      <c r="BF95" s="600">
        <f t="shared" si="148"/>
        <v>683361.86775766674</v>
      </c>
      <c r="BG95" s="600">
        <v>0</v>
      </c>
      <c r="BH95" s="600">
        <v>0</v>
      </c>
      <c r="BI95" s="600">
        <f t="shared" si="149"/>
        <v>0</v>
      </c>
      <c r="BJ95" s="600">
        <f t="shared" si="150"/>
        <v>683361.87</v>
      </c>
      <c r="BK95" s="600">
        <f t="shared" si="151"/>
        <v>240065.02493099996</v>
      </c>
      <c r="BL95" s="600">
        <v>683361.87</v>
      </c>
      <c r="BM95" s="600">
        <f t="shared" si="152"/>
        <v>0</v>
      </c>
      <c r="BN95" s="600">
        <f t="shared" si="153"/>
        <v>0</v>
      </c>
      <c r="BO95" s="600">
        <f t="shared" si="154"/>
        <v>0</v>
      </c>
      <c r="BP95" s="600">
        <f t="shared" si="155"/>
        <v>240065.02493099996</v>
      </c>
      <c r="BQ95" s="600">
        <f t="shared" si="156"/>
        <v>0</v>
      </c>
      <c r="BR95" s="600">
        <f t="shared" si="157"/>
        <v>0</v>
      </c>
      <c r="BT95" s="606">
        <f t="shared" si="158"/>
        <v>1</v>
      </c>
      <c r="BU95" s="607">
        <f t="shared" si="159"/>
        <v>0</v>
      </c>
      <c r="BV95" s="606">
        <f t="shared" si="160"/>
        <v>1</v>
      </c>
      <c r="BW95" s="607">
        <f t="shared" si="161"/>
        <v>0</v>
      </c>
      <c r="BX95" s="607">
        <f t="shared" si="162"/>
        <v>0</v>
      </c>
      <c r="BY95" s="607">
        <f t="shared" si="163"/>
        <v>0</v>
      </c>
      <c r="BZ95" s="607">
        <f t="shared" si="164"/>
        <v>0</v>
      </c>
      <c r="CA95" s="607">
        <f t="shared" si="165"/>
        <v>0</v>
      </c>
      <c r="CB95" s="607">
        <f t="shared" si="183"/>
        <v>0</v>
      </c>
      <c r="CC95" s="607">
        <f t="shared" si="166"/>
        <v>0</v>
      </c>
      <c r="CD95" s="607">
        <f t="shared" si="167"/>
        <v>0</v>
      </c>
      <c r="CE95" s="607">
        <f t="shared" si="168"/>
        <v>0</v>
      </c>
      <c r="CF95" s="607">
        <f t="shared" si="169"/>
        <v>0</v>
      </c>
      <c r="CG95" s="607">
        <f t="shared" si="170"/>
        <v>0</v>
      </c>
      <c r="CH95" s="607">
        <f t="shared" si="171"/>
        <v>683361.87</v>
      </c>
      <c r="CI95" s="609"/>
      <c r="CK95" s="610" t="str">
        <f t="shared" si="184"/>
        <v/>
      </c>
      <c r="CL95" s="611" t="str">
        <f>IF(CK95="","",COUNTIFS($CK$16:CK95,"Yes")+MAX(State!AD:AD))</f>
        <v/>
      </c>
      <c r="CM95" s="612" t="b">
        <f>IF(C95="", "", AND(INDEX('Summary Dynamic'!$D$8:$D$10, MATCH(H95, 'Summary Dynamic'!$C$8:$C$10, 0))="Include", INDEX('Summary Dynamic'!$D$12:$D$14, MATCH(I95, 'Summary Dynamic'!$C$12:$C$14, 0))="Include", INDEX('Summary Dynamic'!$D$16:$D$17, MATCH(J95, 'Summary Dynamic'!$C$16:$C$17, 0))="Include", INDEX('Summary Dynamic'!$D$19:$D$20, MATCH(K95, 'Summary Dynamic'!$C$19:$C$20, 0))="Include", INDEX('Summary Dynamic'!$D$25:$D$26, MATCH(L95, 'Summary Dynamic'!$C$25:$C$26, 0))="Include",'Summary Dynamic'!$D$23="Include"))</f>
        <v>1</v>
      </c>
      <c r="CN95" s="613">
        <f>IFERROR(IF(CM95=TRUE, COUNTIFS($CM$16:CM95, TRUE), ""), "")</f>
        <v>80</v>
      </c>
      <c r="CP95" s="614" t="str">
        <f t="shared" si="172"/>
        <v>Non-Rural Private</v>
      </c>
      <c r="CY95" s="615"/>
      <c r="CZ95" s="616"/>
    </row>
    <row r="96" spans="2:104" x14ac:dyDescent="0.25">
      <c r="B96" s="617">
        <f t="shared" si="173"/>
        <v>81</v>
      </c>
      <c r="C96" s="593" t="s">
        <v>738</v>
      </c>
      <c r="D96" s="594" t="s">
        <v>738</v>
      </c>
      <c r="E96" s="594" t="s">
        <v>739</v>
      </c>
      <c r="F96" s="407" t="s">
        <v>740</v>
      </c>
      <c r="G96" s="408" t="s">
        <v>595</v>
      </c>
      <c r="H96" s="408" t="s">
        <v>22</v>
      </c>
      <c r="I96" s="408" t="s">
        <v>28</v>
      </c>
      <c r="J96" s="408" t="s">
        <v>35</v>
      </c>
      <c r="K96" s="408" t="s">
        <v>35</v>
      </c>
      <c r="L96" s="408" t="s">
        <v>35</v>
      </c>
      <c r="M96" s="408" t="s">
        <v>37</v>
      </c>
      <c r="N96" s="595" t="str">
        <f t="shared" si="127"/>
        <v>No</v>
      </c>
      <c r="O96" s="596">
        <v>10794</v>
      </c>
      <c r="P96" s="596">
        <v>76413</v>
      </c>
      <c r="Q96" s="597">
        <v>0.27033871555273514</v>
      </c>
      <c r="R96" s="596">
        <f t="shared" si="174"/>
        <v>20657.392271531149</v>
      </c>
      <c r="S96" s="596">
        <f t="shared" si="175"/>
        <v>31451.392271531149</v>
      </c>
      <c r="T96" s="596">
        <f t="shared" si="128"/>
        <v>42500.266376520041</v>
      </c>
      <c r="U96" s="598">
        <f t="shared" si="176"/>
        <v>9.9430358456201445E-3</v>
      </c>
      <c r="V96" s="599">
        <f t="shared" si="185"/>
        <v>0</v>
      </c>
      <c r="W96" s="600">
        <v>41228438.742267378</v>
      </c>
      <c r="X96" s="600">
        <v>0</v>
      </c>
      <c r="Y96" s="600">
        <v>21434783.224592209</v>
      </c>
      <c r="Z96" s="600">
        <f t="shared" si="177"/>
        <v>0</v>
      </c>
      <c r="AA96" s="600">
        <f t="shared" si="178"/>
        <v>41228438.742267378</v>
      </c>
      <c r="AB96" s="601">
        <f t="shared" si="129"/>
        <v>0</v>
      </c>
      <c r="AC96" s="599">
        <v>2926294.312135614</v>
      </c>
      <c r="AD96" s="599">
        <f>MAX(IF(M96="Yes",'Assumption Inputs'!$C$40,'Assumption Inputs'!$C$41),AC96)</f>
        <v>8000000</v>
      </c>
      <c r="AE96" s="599">
        <f t="shared" si="186"/>
        <v>8000000</v>
      </c>
      <c r="AF96" s="599">
        <f t="shared" si="130"/>
        <v>4332357.0217357781</v>
      </c>
      <c r="AG96" s="599">
        <f t="shared" si="187"/>
        <v>0</v>
      </c>
      <c r="AH96" s="599">
        <f t="shared" si="188"/>
        <v>12332357.021735778</v>
      </c>
      <c r="AI96" s="599">
        <v>73553325.319281936</v>
      </c>
      <c r="AJ96" s="599">
        <v>44657243.598750331</v>
      </c>
      <c r="AK96" s="602">
        <f t="shared" si="179"/>
        <v>0.60714105589245837</v>
      </c>
      <c r="AL96" s="603">
        <f t="shared" si="131"/>
        <v>502029.03508421779</v>
      </c>
      <c r="AM96" s="600">
        <f t="shared" si="180"/>
        <v>8502029.0350842178</v>
      </c>
      <c r="AN96" s="600">
        <f t="shared" si="132"/>
        <v>8502029.0350842178</v>
      </c>
      <c r="AO96" s="600">
        <f t="shared" si="133"/>
        <v>0</v>
      </c>
      <c r="AP96" s="600">
        <f t="shared" si="134"/>
        <v>32726409.70718316</v>
      </c>
      <c r="AQ96" s="600">
        <f t="shared" si="181"/>
        <v>0</v>
      </c>
      <c r="AR96" s="600">
        <f t="shared" si="182"/>
        <v>8502029.0350842178</v>
      </c>
      <c r="AS96" s="604">
        <f t="shared" si="135"/>
        <v>4604228.1486435719</v>
      </c>
      <c r="AT96" s="605">
        <f t="shared" si="136"/>
        <v>0</v>
      </c>
      <c r="AU96" s="600">
        <f t="shared" si="137"/>
        <v>13106257.18372779</v>
      </c>
      <c r="AV96" s="600">
        <f t="shared" si="138"/>
        <v>13106257.18372779</v>
      </c>
      <c r="AW96" s="600">
        <f t="shared" si="139"/>
        <v>0</v>
      </c>
      <c r="AX96" s="600">
        <f t="shared" si="140"/>
        <v>28122181.558539588</v>
      </c>
      <c r="AY96" s="600">
        <f t="shared" si="141"/>
        <v>5.5331775624063203E-11</v>
      </c>
      <c r="AZ96" s="600">
        <f t="shared" si="142"/>
        <v>13106257.18372779</v>
      </c>
      <c r="BA96" s="600">
        <f t="shared" si="143"/>
        <v>0</v>
      </c>
      <c r="BB96" s="600">
        <f t="shared" si="144"/>
        <v>1.94380527767334E-11</v>
      </c>
      <c r="BC96" s="600">
        <f t="shared" si="145"/>
        <v>0</v>
      </c>
      <c r="BD96" s="600">
        <f t="shared" si="146"/>
        <v>4604228.1486435719</v>
      </c>
      <c r="BE96" s="600">
        <f t="shared" si="147"/>
        <v>28122181.558539588</v>
      </c>
      <c r="BF96" s="600">
        <f t="shared" si="148"/>
        <v>8502029.0350842178</v>
      </c>
      <c r="BG96" s="600">
        <v>0</v>
      </c>
      <c r="BH96" s="600">
        <v>0</v>
      </c>
      <c r="BI96" s="600">
        <f t="shared" si="149"/>
        <v>0</v>
      </c>
      <c r="BJ96" s="600">
        <f t="shared" si="150"/>
        <v>13106257.18</v>
      </c>
      <c r="BK96" s="600">
        <f t="shared" si="151"/>
        <v>4604228.1473339992</v>
      </c>
      <c r="BL96" s="600">
        <v>13106257.18</v>
      </c>
      <c r="BM96" s="600">
        <f t="shared" si="152"/>
        <v>0</v>
      </c>
      <c r="BN96" s="600">
        <f t="shared" si="153"/>
        <v>0</v>
      </c>
      <c r="BO96" s="600">
        <f t="shared" si="154"/>
        <v>4604228.1500000004</v>
      </c>
      <c r="BP96" s="600">
        <f t="shared" si="155"/>
        <v>4604228.1473339992</v>
      </c>
      <c r="BQ96" s="600">
        <f t="shared" si="156"/>
        <v>0</v>
      </c>
      <c r="BR96" s="600">
        <f t="shared" si="157"/>
        <v>4604228.1500000004</v>
      </c>
      <c r="BT96" s="606">
        <f t="shared" si="158"/>
        <v>1</v>
      </c>
      <c r="BU96" s="607">
        <f t="shared" si="159"/>
        <v>0</v>
      </c>
      <c r="BV96" s="606">
        <f t="shared" si="160"/>
        <v>1</v>
      </c>
      <c r="BW96" s="607">
        <f t="shared" si="161"/>
        <v>0</v>
      </c>
      <c r="BX96" s="607">
        <f t="shared" si="162"/>
        <v>0</v>
      </c>
      <c r="BY96" s="607">
        <f t="shared" si="163"/>
        <v>0</v>
      </c>
      <c r="BZ96" s="607">
        <f t="shared" si="164"/>
        <v>0</v>
      </c>
      <c r="CA96" s="607">
        <f t="shared" si="165"/>
        <v>0</v>
      </c>
      <c r="CB96" s="607">
        <f t="shared" si="183"/>
        <v>0</v>
      </c>
      <c r="CC96" s="607">
        <f t="shared" si="166"/>
        <v>0</v>
      </c>
      <c r="CD96" s="607">
        <f t="shared" si="167"/>
        <v>0</v>
      </c>
      <c r="CE96" s="607">
        <f t="shared" si="168"/>
        <v>0</v>
      </c>
      <c r="CF96" s="607">
        <f t="shared" si="169"/>
        <v>0</v>
      </c>
      <c r="CG96" s="607">
        <f t="shared" si="170"/>
        <v>0</v>
      </c>
      <c r="CH96" s="607">
        <f t="shared" si="171"/>
        <v>13106257.18</v>
      </c>
      <c r="CI96" s="609"/>
      <c r="CK96" s="610" t="str">
        <f t="shared" si="184"/>
        <v/>
      </c>
      <c r="CL96" s="611" t="str">
        <f>IF(CK96="","",COUNTIFS($CK$16:CK96,"Yes")+MAX(State!AD:AD))</f>
        <v/>
      </c>
      <c r="CM96" s="612" t="b">
        <f>IF(C96="", "", AND(INDEX('Summary Dynamic'!$D$8:$D$10, MATCH(H96, 'Summary Dynamic'!$C$8:$C$10, 0))="Include", INDEX('Summary Dynamic'!$D$12:$D$14, MATCH(I96, 'Summary Dynamic'!$C$12:$C$14, 0))="Include", INDEX('Summary Dynamic'!$D$16:$D$17, MATCH(J96, 'Summary Dynamic'!$C$16:$C$17, 0))="Include", INDEX('Summary Dynamic'!$D$19:$D$20, MATCH(K96, 'Summary Dynamic'!$C$19:$C$20, 0))="Include", INDEX('Summary Dynamic'!$D$25:$D$26, MATCH(L96, 'Summary Dynamic'!$C$25:$C$26, 0))="Include",'Summary Dynamic'!$D$23="Include"))</f>
        <v>1</v>
      </c>
      <c r="CN96" s="613">
        <f>IFERROR(IF(CM96=TRUE, COUNTIFS($CM$16:CM96, TRUE), ""), "")</f>
        <v>81</v>
      </c>
      <c r="CP96" s="614" t="str">
        <f t="shared" si="172"/>
        <v>Non-Rural Public</v>
      </c>
      <c r="CY96" s="615"/>
      <c r="CZ96" s="616"/>
    </row>
    <row r="97" spans="2:104" x14ac:dyDescent="0.25">
      <c r="B97" s="617">
        <f t="shared" si="173"/>
        <v>82</v>
      </c>
      <c r="C97" s="593" t="s">
        <v>741</v>
      </c>
      <c r="D97" s="594" t="s">
        <v>741</v>
      </c>
      <c r="E97" s="594" t="s">
        <v>742</v>
      </c>
      <c r="F97" s="407" t="s">
        <v>743</v>
      </c>
      <c r="G97" s="408" t="s">
        <v>744</v>
      </c>
      <c r="H97" s="408" t="s">
        <v>22</v>
      </c>
      <c r="I97" s="408" t="s">
        <v>26</v>
      </c>
      <c r="J97" s="408" t="s">
        <v>35</v>
      </c>
      <c r="K97" s="408" t="s">
        <v>35</v>
      </c>
      <c r="L97" s="408" t="s">
        <v>35</v>
      </c>
      <c r="M97" s="408" t="s">
        <v>35</v>
      </c>
      <c r="N97" s="595" t="str">
        <f t="shared" si="127"/>
        <v>No</v>
      </c>
      <c r="O97" s="596">
        <v>11113</v>
      </c>
      <c r="P97" s="596">
        <v>63964</v>
      </c>
      <c r="Q97" s="597">
        <v>0.13988405444316449</v>
      </c>
      <c r="R97" s="596">
        <f t="shared" si="174"/>
        <v>8947.5436584025738</v>
      </c>
      <c r="S97" s="596">
        <f t="shared" si="175"/>
        <v>20060.543658402574</v>
      </c>
      <c r="T97" s="596">
        <f t="shared" si="128"/>
        <v>20060.543658402574</v>
      </c>
      <c r="U97" s="598">
        <f t="shared" si="176"/>
        <v>4.6932106945174598E-3</v>
      </c>
      <c r="V97" s="599">
        <f t="shared" si="185"/>
        <v>0</v>
      </c>
      <c r="W97" s="600">
        <v>19214446.452558942</v>
      </c>
      <c r="X97" s="600">
        <v>0</v>
      </c>
      <c r="Y97" s="600">
        <v>9817918.2332461588</v>
      </c>
      <c r="Z97" s="600">
        <f t="shared" si="177"/>
        <v>0</v>
      </c>
      <c r="AA97" s="600">
        <f t="shared" si="178"/>
        <v>19214446.452558942</v>
      </c>
      <c r="AB97" s="601">
        <f t="shared" si="129"/>
        <v>0</v>
      </c>
      <c r="AC97" s="599">
        <v>0</v>
      </c>
      <c r="AD97" s="599">
        <f>MAX(IF(M97="Yes",'Assumption Inputs'!$C$40,'Assumption Inputs'!$C$41),AC97)</f>
        <v>6000000</v>
      </c>
      <c r="AE97" s="599">
        <f t="shared" si="186"/>
        <v>6000000</v>
      </c>
      <c r="AF97" s="599">
        <f t="shared" si="130"/>
        <v>0</v>
      </c>
      <c r="AG97" s="599">
        <f t="shared" si="187"/>
        <v>0</v>
      </c>
      <c r="AH97" s="599">
        <f t="shared" si="188"/>
        <v>6000000</v>
      </c>
      <c r="AI97" s="599">
        <v>93408788.93229571</v>
      </c>
      <c r="AJ97" s="599">
        <v>80194342.479736775</v>
      </c>
      <c r="AK97" s="602">
        <f t="shared" si="179"/>
        <v>0.85853101615376903</v>
      </c>
      <c r="AL97" s="603">
        <f t="shared" si="131"/>
        <v>0</v>
      </c>
      <c r="AM97" s="600">
        <f t="shared" si="180"/>
        <v>6000000</v>
      </c>
      <c r="AN97" s="600">
        <f t="shared" si="132"/>
        <v>6000000</v>
      </c>
      <c r="AO97" s="600">
        <f t="shared" si="133"/>
        <v>0</v>
      </c>
      <c r="AP97" s="600">
        <f t="shared" si="134"/>
        <v>13214446.452558942</v>
      </c>
      <c r="AQ97" s="600">
        <f t="shared" si="181"/>
        <v>0</v>
      </c>
      <c r="AR97" s="600">
        <f t="shared" si="182"/>
        <v>6000000</v>
      </c>
      <c r="AS97" s="604">
        <f t="shared" si="135"/>
        <v>0</v>
      </c>
      <c r="AT97" s="605">
        <f t="shared" si="136"/>
        <v>0</v>
      </c>
      <c r="AU97" s="600">
        <f t="shared" si="137"/>
        <v>6000000</v>
      </c>
      <c r="AV97" s="600">
        <f t="shared" si="138"/>
        <v>6000000</v>
      </c>
      <c r="AW97" s="600">
        <f t="shared" si="139"/>
        <v>0</v>
      </c>
      <c r="AX97" s="600">
        <f t="shared" si="140"/>
        <v>13214446.452558942</v>
      </c>
      <c r="AY97" s="600">
        <f t="shared" si="141"/>
        <v>2.6000073450459582E-11</v>
      </c>
      <c r="AZ97" s="600">
        <f t="shared" si="142"/>
        <v>6000000</v>
      </c>
      <c r="BA97" s="600">
        <f t="shared" si="143"/>
        <v>0</v>
      </c>
      <c r="BB97" s="600">
        <f t="shared" si="144"/>
        <v>0</v>
      </c>
      <c r="BC97" s="600">
        <f t="shared" si="145"/>
        <v>0</v>
      </c>
      <c r="BD97" s="600">
        <f t="shared" si="146"/>
        <v>0</v>
      </c>
      <c r="BE97" s="600">
        <f t="shared" si="147"/>
        <v>13214446.452558942</v>
      </c>
      <c r="BF97" s="600">
        <f t="shared" si="148"/>
        <v>6000000</v>
      </c>
      <c r="BG97" s="600">
        <v>0</v>
      </c>
      <c r="BH97" s="600">
        <v>0</v>
      </c>
      <c r="BI97" s="600">
        <f t="shared" si="149"/>
        <v>0</v>
      </c>
      <c r="BJ97" s="600">
        <f t="shared" si="150"/>
        <v>6000000</v>
      </c>
      <c r="BK97" s="600">
        <f t="shared" si="151"/>
        <v>2107799.9999999995</v>
      </c>
      <c r="BL97" s="600">
        <v>6000000</v>
      </c>
      <c r="BM97" s="600">
        <f t="shared" si="152"/>
        <v>0</v>
      </c>
      <c r="BN97" s="600">
        <f t="shared" si="153"/>
        <v>0</v>
      </c>
      <c r="BO97" s="600">
        <f t="shared" si="154"/>
        <v>0</v>
      </c>
      <c r="BP97" s="600">
        <f t="shared" si="155"/>
        <v>2107799.9999999995</v>
      </c>
      <c r="BQ97" s="600">
        <f t="shared" si="156"/>
        <v>0</v>
      </c>
      <c r="BR97" s="600">
        <f t="shared" si="157"/>
        <v>0</v>
      </c>
      <c r="BT97" s="606">
        <f t="shared" si="158"/>
        <v>1</v>
      </c>
      <c r="BU97" s="607">
        <f t="shared" si="159"/>
        <v>0</v>
      </c>
      <c r="BV97" s="606">
        <f t="shared" si="160"/>
        <v>1</v>
      </c>
      <c r="BW97" s="607">
        <f t="shared" si="161"/>
        <v>0</v>
      </c>
      <c r="BX97" s="607">
        <f t="shared" si="162"/>
        <v>0</v>
      </c>
      <c r="BY97" s="607">
        <f t="shared" si="163"/>
        <v>0</v>
      </c>
      <c r="BZ97" s="607">
        <f t="shared" si="164"/>
        <v>0</v>
      </c>
      <c r="CA97" s="607">
        <f t="shared" si="165"/>
        <v>0</v>
      </c>
      <c r="CB97" s="607">
        <f t="shared" si="183"/>
        <v>0</v>
      </c>
      <c r="CC97" s="607">
        <f t="shared" si="166"/>
        <v>0</v>
      </c>
      <c r="CD97" s="607">
        <f t="shared" si="167"/>
        <v>0</v>
      </c>
      <c r="CE97" s="607">
        <f t="shared" si="168"/>
        <v>0</v>
      </c>
      <c r="CF97" s="607">
        <f t="shared" si="169"/>
        <v>0</v>
      </c>
      <c r="CG97" s="607">
        <f t="shared" si="170"/>
        <v>0</v>
      </c>
      <c r="CH97" s="607">
        <f t="shared" si="171"/>
        <v>6000000</v>
      </c>
      <c r="CI97" s="609"/>
      <c r="CK97" s="610" t="str">
        <f t="shared" si="184"/>
        <v/>
      </c>
      <c r="CL97" s="611" t="str">
        <f>IF(CK97="","",COUNTIFS($CK$16:CK97,"Yes")+MAX(State!AD:AD))</f>
        <v/>
      </c>
      <c r="CM97" s="612" t="b">
        <f>IF(C97="", "", AND(INDEX('Summary Dynamic'!$D$8:$D$10, MATCH(H97, 'Summary Dynamic'!$C$8:$C$10, 0))="Include", INDEX('Summary Dynamic'!$D$12:$D$14, MATCH(I97, 'Summary Dynamic'!$C$12:$C$14, 0))="Include", INDEX('Summary Dynamic'!$D$16:$D$17, MATCH(J97, 'Summary Dynamic'!$C$16:$C$17, 0))="Include", INDEX('Summary Dynamic'!$D$19:$D$20, MATCH(K97, 'Summary Dynamic'!$C$19:$C$20, 0))="Include", INDEX('Summary Dynamic'!$D$25:$D$26, MATCH(L97, 'Summary Dynamic'!$C$25:$C$26, 0))="Include",'Summary Dynamic'!$D$23="Include"))</f>
        <v>1</v>
      </c>
      <c r="CN97" s="613">
        <f>IFERROR(IF(CM97=TRUE, COUNTIFS($CM$16:CM97, TRUE), ""), "")</f>
        <v>82</v>
      </c>
      <c r="CP97" s="614" t="str">
        <f t="shared" si="172"/>
        <v>Non-Rural Private</v>
      </c>
      <c r="CY97" s="615"/>
      <c r="CZ97" s="616"/>
    </row>
    <row r="98" spans="2:104" x14ac:dyDescent="0.25">
      <c r="B98" s="617">
        <f t="shared" si="173"/>
        <v>83</v>
      </c>
      <c r="C98" s="593" t="s">
        <v>745</v>
      </c>
      <c r="D98" s="594" t="s">
        <v>745</v>
      </c>
      <c r="E98" s="594" t="s">
        <v>746</v>
      </c>
      <c r="F98" s="407" t="s">
        <v>747</v>
      </c>
      <c r="G98" s="408" t="s">
        <v>314</v>
      </c>
      <c r="H98" s="408" t="s">
        <v>11</v>
      </c>
      <c r="I98" s="408" t="s">
        <v>28</v>
      </c>
      <c r="J98" s="408" t="s">
        <v>35</v>
      </c>
      <c r="K98" s="408" t="s">
        <v>35</v>
      </c>
      <c r="L98" s="408" t="s">
        <v>35</v>
      </c>
      <c r="M98" s="408" t="s">
        <v>37</v>
      </c>
      <c r="N98" s="595" t="str">
        <f t="shared" si="127"/>
        <v>No</v>
      </c>
      <c r="O98" s="596">
        <v>59344</v>
      </c>
      <c r="P98" s="596">
        <v>205411</v>
      </c>
      <c r="Q98" s="597">
        <v>0.42393410066371501</v>
      </c>
      <c r="R98" s="596">
        <f t="shared" si="174"/>
        <v>87080.727551434364</v>
      </c>
      <c r="S98" s="596">
        <f t="shared" si="175"/>
        <v>146424.72755143436</v>
      </c>
      <c r="T98" s="596">
        <f t="shared" si="128"/>
        <v>146424.72755143436</v>
      </c>
      <c r="U98" s="598">
        <f t="shared" si="176"/>
        <v>3.4256404461818019E-2</v>
      </c>
      <c r="V98" s="599">
        <f t="shared" si="185"/>
        <v>0</v>
      </c>
      <c r="W98" s="600">
        <v>307301315.94465506</v>
      </c>
      <c r="X98" s="600">
        <v>0</v>
      </c>
      <c r="Y98" s="600">
        <v>156623397.60026199</v>
      </c>
      <c r="Z98" s="600">
        <f t="shared" si="177"/>
        <v>0</v>
      </c>
      <c r="AA98" s="600">
        <f t="shared" si="178"/>
        <v>307301315.94465506</v>
      </c>
      <c r="AB98" s="601">
        <f t="shared" si="129"/>
        <v>0.18132361638172903</v>
      </c>
      <c r="AC98" s="599">
        <v>33617902.836137615</v>
      </c>
      <c r="AD98" s="599">
        <f>MAX(IF(M98="Yes",'Assumption Inputs'!$C$40,'Assumption Inputs'!$C$41),AC98)</f>
        <v>33617902.836137615</v>
      </c>
      <c r="AE98" s="599">
        <f t="shared" si="186"/>
        <v>33617902.836137615</v>
      </c>
      <c r="AF98" s="599">
        <f t="shared" si="130"/>
        <v>18205594.676021494</v>
      </c>
      <c r="AG98" s="599">
        <f t="shared" si="187"/>
        <v>57797440.756508417</v>
      </c>
      <c r="AH98" s="599">
        <f t="shared" si="188"/>
        <v>51823497.512159109</v>
      </c>
      <c r="AI98" s="599">
        <v>581448011.38111627</v>
      </c>
      <c r="AJ98" s="599">
        <v>325970192.94862038</v>
      </c>
      <c r="AK98" s="602">
        <f t="shared" si="179"/>
        <v>0.56061795133556624</v>
      </c>
      <c r="AL98" s="603">
        <f t="shared" si="131"/>
        <v>31019367.406135142</v>
      </c>
      <c r="AM98" s="600">
        <f t="shared" si="180"/>
        <v>64637270.242272757</v>
      </c>
      <c r="AN98" s="600">
        <f t="shared" si="132"/>
        <v>64637270.242272757</v>
      </c>
      <c r="AO98" s="600">
        <f t="shared" si="133"/>
        <v>0</v>
      </c>
      <c r="AP98" s="600">
        <f t="shared" si="134"/>
        <v>242664045.7023823</v>
      </c>
      <c r="AQ98" s="600">
        <f t="shared" si="181"/>
        <v>0</v>
      </c>
      <c r="AR98" s="600">
        <f t="shared" si="182"/>
        <v>64637270.242272757</v>
      </c>
      <c r="AS98" s="604">
        <f t="shared" si="135"/>
        <v>35003966.449992932</v>
      </c>
      <c r="AT98" s="605">
        <f t="shared" si="136"/>
        <v>65651398.1286854</v>
      </c>
      <c r="AU98" s="600">
        <f t="shared" si="137"/>
        <v>165292634.8209511</v>
      </c>
      <c r="AV98" s="600">
        <f t="shared" si="138"/>
        <v>165292634.8209511</v>
      </c>
      <c r="AW98" s="600">
        <f t="shared" si="139"/>
        <v>0</v>
      </c>
      <c r="AX98" s="600">
        <f t="shared" si="140"/>
        <v>142008681.12370396</v>
      </c>
      <c r="AY98" s="600">
        <f t="shared" si="141"/>
        <v>2.7940906590939377E-10</v>
      </c>
      <c r="AZ98" s="600">
        <f t="shared" si="142"/>
        <v>165292634.8209511</v>
      </c>
      <c r="BA98" s="600">
        <f t="shared" si="143"/>
        <v>0</v>
      </c>
      <c r="BB98" s="600">
        <f t="shared" si="144"/>
        <v>9.8156404853970012E-11</v>
      </c>
      <c r="BC98" s="600">
        <f t="shared" si="145"/>
        <v>2.0151067695997015E-10</v>
      </c>
      <c r="BD98" s="600">
        <f t="shared" si="146"/>
        <v>100655364.57867834</v>
      </c>
      <c r="BE98" s="600">
        <f t="shared" si="147"/>
        <v>142008681.12370396</v>
      </c>
      <c r="BF98" s="600">
        <f t="shared" si="148"/>
        <v>64637270.242272764</v>
      </c>
      <c r="BG98" s="600">
        <v>0</v>
      </c>
      <c r="BH98" s="600">
        <v>0</v>
      </c>
      <c r="BI98" s="600">
        <f t="shared" si="149"/>
        <v>0</v>
      </c>
      <c r="BJ98" s="600">
        <f t="shared" si="150"/>
        <v>165292634.81999999</v>
      </c>
      <c r="BK98" s="600">
        <f t="shared" si="151"/>
        <v>58067302.612265989</v>
      </c>
      <c r="BL98" s="600">
        <v>165292634.81999999</v>
      </c>
      <c r="BM98" s="600">
        <f t="shared" si="152"/>
        <v>0</v>
      </c>
      <c r="BN98" s="600">
        <f t="shared" si="153"/>
        <v>0</v>
      </c>
      <c r="BO98" s="600">
        <f t="shared" si="154"/>
        <v>100655364.58</v>
      </c>
      <c r="BP98" s="600">
        <f t="shared" si="155"/>
        <v>58067302.612265989</v>
      </c>
      <c r="BQ98" s="600">
        <f t="shared" si="156"/>
        <v>42588061.965626612</v>
      </c>
      <c r="BR98" s="600">
        <f t="shared" si="157"/>
        <v>100655364.58</v>
      </c>
      <c r="BT98" s="606">
        <f t="shared" si="158"/>
        <v>1</v>
      </c>
      <c r="BU98" s="607">
        <f t="shared" si="159"/>
        <v>0</v>
      </c>
      <c r="BV98" s="606">
        <f t="shared" si="160"/>
        <v>1</v>
      </c>
      <c r="BW98" s="607">
        <f t="shared" si="161"/>
        <v>0</v>
      </c>
      <c r="BX98" s="607">
        <f t="shared" si="162"/>
        <v>0</v>
      </c>
      <c r="BY98" s="607">
        <f t="shared" si="163"/>
        <v>0</v>
      </c>
      <c r="BZ98" s="607">
        <f t="shared" si="164"/>
        <v>0</v>
      </c>
      <c r="CA98" s="607">
        <f t="shared" si="165"/>
        <v>0</v>
      </c>
      <c r="CB98" s="607">
        <f t="shared" si="183"/>
        <v>0</v>
      </c>
      <c r="CC98" s="607">
        <f t="shared" si="166"/>
        <v>0</v>
      </c>
      <c r="CD98" s="607">
        <f t="shared" si="167"/>
        <v>0</v>
      </c>
      <c r="CE98" s="607">
        <f t="shared" si="168"/>
        <v>0</v>
      </c>
      <c r="CF98" s="607">
        <f t="shared" si="169"/>
        <v>0</v>
      </c>
      <c r="CG98" s="607">
        <f t="shared" si="170"/>
        <v>1596439.6375221256</v>
      </c>
      <c r="CH98" s="607">
        <f t="shared" si="171"/>
        <v>166889074.45752212</v>
      </c>
      <c r="CI98" s="609"/>
      <c r="CK98" s="610" t="str">
        <f t="shared" si="184"/>
        <v/>
      </c>
      <c r="CL98" s="611" t="str">
        <f>IF(CK98="","",COUNTIFS($CK$16:CK98,"Yes")+MAX(State!AD:AD))</f>
        <v/>
      </c>
      <c r="CM98" s="612" t="b">
        <f>IF(C98="", "", AND(INDEX('Summary Dynamic'!$D$8:$D$10, MATCH(H98, 'Summary Dynamic'!$C$8:$C$10, 0))="Include", INDEX('Summary Dynamic'!$D$12:$D$14, MATCH(I98, 'Summary Dynamic'!$C$12:$C$14, 0))="Include", INDEX('Summary Dynamic'!$D$16:$D$17, MATCH(J98, 'Summary Dynamic'!$C$16:$C$17, 0))="Include", INDEX('Summary Dynamic'!$D$19:$D$20, MATCH(K98, 'Summary Dynamic'!$C$19:$C$20, 0))="Include", INDEX('Summary Dynamic'!$D$25:$D$26, MATCH(L98, 'Summary Dynamic'!$C$25:$C$26, 0))="Include",'Summary Dynamic'!$D$23="Include"))</f>
        <v>1</v>
      </c>
      <c r="CN98" s="613">
        <f>IFERROR(IF(CM98=TRUE, COUNTIFS($CM$16:CM98, TRUE), ""), "")</f>
        <v>83</v>
      </c>
      <c r="CP98" s="614" t="str">
        <f t="shared" si="172"/>
        <v>Urban Public Class 1</v>
      </c>
      <c r="CY98" s="615"/>
      <c r="CZ98" s="616"/>
    </row>
    <row r="99" spans="2:104" x14ac:dyDescent="0.25">
      <c r="B99" s="617">
        <f t="shared" si="173"/>
        <v>84</v>
      </c>
      <c r="C99" s="405" t="s">
        <v>748</v>
      </c>
      <c r="D99" s="406" t="s">
        <v>748</v>
      </c>
      <c r="E99" s="406" t="s">
        <v>749</v>
      </c>
      <c r="F99" s="407" t="s">
        <v>750</v>
      </c>
      <c r="G99" s="408" t="s">
        <v>751</v>
      </c>
      <c r="H99" s="619" t="s">
        <v>22</v>
      </c>
      <c r="I99" s="408" t="s">
        <v>28</v>
      </c>
      <c r="J99" s="408" t="s">
        <v>35</v>
      </c>
      <c r="K99" s="408" t="s">
        <v>35</v>
      </c>
      <c r="L99" s="408" t="s">
        <v>35</v>
      </c>
      <c r="M99" s="408" t="s">
        <v>37</v>
      </c>
      <c r="N99" s="595" t="str">
        <f t="shared" si="127"/>
        <v>No</v>
      </c>
      <c r="O99" s="596">
        <v>8368</v>
      </c>
      <c r="P99" s="596">
        <v>68040</v>
      </c>
      <c r="Q99" s="597">
        <v>0.20864870574639455</v>
      </c>
      <c r="R99" s="596">
        <f t="shared" si="174"/>
        <v>14196.457938984686</v>
      </c>
      <c r="S99" s="596">
        <f t="shared" si="175"/>
        <v>22564.457938984684</v>
      </c>
      <c r="T99" s="596">
        <f t="shared" si="128"/>
        <v>30491.352012950003</v>
      </c>
      <c r="U99" s="598">
        <f t="shared" si="176"/>
        <v>7.1335224904302864E-3</v>
      </c>
      <c r="V99" s="599">
        <f t="shared" si="185"/>
        <v>0</v>
      </c>
      <c r="W99" s="600">
        <v>41721648.904167838</v>
      </c>
      <c r="X99" s="600">
        <v>0</v>
      </c>
      <c r="Y99" s="600">
        <v>9176604.4182194173</v>
      </c>
      <c r="Z99" s="600">
        <f t="shared" si="177"/>
        <v>0</v>
      </c>
      <c r="AA99" s="600">
        <f t="shared" si="178"/>
        <v>41721648.904167838</v>
      </c>
      <c r="AB99" s="601">
        <f t="shared" si="129"/>
        <v>0</v>
      </c>
      <c r="AC99" s="599">
        <v>8833872.1440166235</v>
      </c>
      <c r="AD99" s="599">
        <f>MAX(IF(M99="Yes",'Assumption Inputs'!$C$40,'Assumption Inputs'!$C$41),AC99)</f>
        <v>8833872.1440166235</v>
      </c>
      <c r="AE99" s="599">
        <f t="shared" si="186"/>
        <v>8833872.1440166235</v>
      </c>
      <c r="AF99" s="599">
        <f t="shared" si="130"/>
        <v>4783936.001530814</v>
      </c>
      <c r="AG99" s="599">
        <f t="shared" si="187"/>
        <v>0</v>
      </c>
      <c r="AH99" s="599">
        <f t="shared" si="188"/>
        <v>13617808.145547438</v>
      </c>
      <c r="AI99" s="599">
        <v>64718791.422388189</v>
      </c>
      <c r="AJ99" s="599">
        <v>36614950.663767785</v>
      </c>
      <c r="AK99" s="602">
        <f t="shared" si="179"/>
        <v>0.56575454916640433</v>
      </c>
      <c r="AL99" s="603">
        <f t="shared" si="131"/>
        <v>3120214.7239176929</v>
      </c>
      <c r="AM99" s="600">
        <f t="shared" si="180"/>
        <v>11954086.867934316</v>
      </c>
      <c r="AN99" s="600">
        <f t="shared" si="132"/>
        <v>11954086.867934316</v>
      </c>
      <c r="AO99" s="600">
        <f t="shared" si="133"/>
        <v>0</v>
      </c>
      <c r="AP99" s="600">
        <f t="shared" si="134"/>
        <v>29767562.036233522</v>
      </c>
      <c r="AQ99" s="600">
        <f t="shared" si="181"/>
        <v>0</v>
      </c>
      <c r="AR99" s="600">
        <f t="shared" si="182"/>
        <v>11954086.867934316</v>
      </c>
      <c r="AS99" s="604">
        <f t="shared" si="135"/>
        <v>6473671.5225918368</v>
      </c>
      <c r="AT99" s="605">
        <f t="shared" si="136"/>
        <v>0</v>
      </c>
      <c r="AU99" s="600">
        <f t="shared" si="137"/>
        <v>18427758.390526153</v>
      </c>
      <c r="AV99" s="600">
        <f t="shared" si="138"/>
        <v>18427758.390526153</v>
      </c>
      <c r="AW99" s="600">
        <f t="shared" si="139"/>
        <v>0</v>
      </c>
      <c r="AX99" s="600">
        <f t="shared" si="140"/>
        <v>23293890.513641685</v>
      </c>
      <c r="AY99" s="600">
        <f t="shared" si="141"/>
        <v>4.5831875476279709E-11</v>
      </c>
      <c r="AZ99" s="600">
        <f t="shared" si="142"/>
        <v>18427758.390526153</v>
      </c>
      <c r="BA99" s="600">
        <f t="shared" si="143"/>
        <v>0</v>
      </c>
      <c r="BB99" s="600">
        <f t="shared" si="144"/>
        <v>1.610073785481706E-11</v>
      </c>
      <c r="BC99" s="600">
        <f t="shared" si="145"/>
        <v>0</v>
      </c>
      <c r="BD99" s="600">
        <f t="shared" si="146"/>
        <v>6473671.5225918368</v>
      </c>
      <c r="BE99" s="600">
        <f t="shared" si="147"/>
        <v>23293890.513641685</v>
      </c>
      <c r="BF99" s="600">
        <f t="shared" si="148"/>
        <v>11954086.867934316</v>
      </c>
      <c r="BG99" s="600">
        <v>0</v>
      </c>
      <c r="BH99" s="600">
        <v>0</v>
      </c>
      <c r="BI99" s="600">
        <f t="shared" si="149"/>
        <v>0</v>
      </c>
      <c r="BJ99" s="600">
        <f t="shared" si="150"/>
        <v>18427758.390000001</v>
      </c>
      <c r="BK99" s="600">
        <f t="shared" si="151"/>
        <v>6473671.522406999</v>
      </c>
      <c r="BL99" s="600">
        <v>18427758.390000001</v>
      </c>
      <c r="BM99" s="600">
        <f t="shared" si="152"/>
        <v>0</v>
      </c>
      <c r="BN99" s="600">
        <f t="shared" si="153"/>
        <v>0</v>
      </c>
      <c r="BO99" s="600">
        <f t="shared" si="154"/>
        <v>6473671.5199999996</v>
      </c>
      <c r="BP99" s="600">
        <f t="shared" si="155"/>
        <v>6473671.522406999</v>
      </c>
      <c r="BQ99" s="600">
        <f t="shared" si="156"/>
        <v>0</v>
      </c>
      <c r="BR99" s="600">
        <f t="shared" si="157"/>
        <v>6473671.5199999996</v>
      </c>
      <c r="BT99" s="606">
        <f t="shared" si="158"/>
        <v>1</v>
      </c>
      <c r="BU99" s="607">
        <f t="shared" si="159"/>
        <v>0</v>
      </c>
      <c r="BV99" s="606">
        <f t="shared" si="160"/>
        <v>1</v>
      </c>
      <c r="BW99" s="607">
        <f t="shared" si="161"/>
        <v>0</v>
      </c>
      <c r="BX99" s="607">
        <f t="shared" si="162"/>
        <v>0</v>
      </c>
      <c r="BY99" s="607">
        <f t="shared" si="163"/>
        <v>0</v>
      </c>
      <c r="BZ99" s="607">
        <f t="shared" si="164"/>
        <v>0</v>
      </c>
      <c r="CA99" s="607">
        <f t="shared" si="165"/>
        <v>0</v>
      </c>
      <c r="CB99" s="607">
        <f t="shared" si="183"/>
        <v>0</v>
      </c>
      <c r="CC99" s="607">
        <f t="shared" si="166"/>
        <v>0</v>
      </c>
      <c r="CD99" s="607">
        <f t="shared" si="167"/>
        <v>0</v>
      </c>
      <c r="CE99" s="607">
        <f t="shared" si="168"/>
        <v>0</v>
      </c>
      <c r="CF99" s="607">
        <f t="shared" si="169"/>
        <v>0</v>
      </c>
      <c r="CG99" s="607">
        <f t="shared" si="170"/>
        <v>0</v>
      </c>
      <c r="CH99" s="607">
        <f t="shared" si="171"/>
        <v>18427758.390000001</v>
      </c>
      <c r="CI99" s="609"/>
      <c r="CK99" s="610" t="str">
        <f t="shared" si="184"/>
        <v/>
      </c>
      <c r="CL99" s="611" t="str">
        <f>IF(CK99="","",COUNTIFS($CK$16:CK99,"Yes")+MAX(State!AD:AD))</f>
        <v/>
      </c>
      <c r="CM99" s="612" t="b">
        <f>IF(C99="", "", AND(INDEX('Summary Dynamic'!$D$8:$D$10, MATCH(H99, 'Summary Dynamic'!$C$8:$C$10, 0))="Include", INDEX('Summary Dynamic'!$D$12:$D$14, MATCH(I99, 'Summary Dynamic'!$C$12:$C$14, 0))="Include", INDEX('Summary Dynamic'!$D$16:$D$17, MATCH(J99, 'Summary Dynamic'!$C$16:$C$17, 0))="Include", INDEX('Summary Dynamic'!$D$19:$D$20, MATCH(K99, 'Summary Dynamic'!$C$19:$C$20, 0))="Include", INDEX('Summary Dynamic'!$D$25:$D$26, MATCH(L99, 'Summary Dynamic'!$C$25:$C$26, 0))="Include",'Summary Dynamic'!$D$23="Include"))</f>
        <v>1</v>
      </c>
      <c r="CN99" s="613">
        <f>IFERROR(IF(CM99=TRUE, COUNTIFS($CM$16:CM99, TRUE), ""), "")</f>
        <v>84</v>
      </c>
      <c r="CP99" s="614" t="str">
        <f t="shared" si="172"/>
        <v>Non-Rural Public</v>
      </c>
      <c r="CY99" s="615"/>
      <c r="CZ99" s="616"/>
    </row>
    <row r="100" spans="2:104" x14ac:dyDescent="0.25">
      <c r="B100" s="617">
        <f t="shared" si="173"/>
        <v>85</v>
      </c>
      <c r="C100" s="593" t="s">
        <v>752</v>
      </c>
      <c r="D100" s="594" t="s">
        <v>752</v>
      </c>
      <c r="E100" s="594" t="s">
        <v>753</v>
      </c>
      <c r="F100" s="407" t="s">
        <v>754</v>
      </c>
      <c r="G100" s="408" t="s">
        <v>755</v>
      </c>
      <c r="H100" s="408" t="s">
        <v>22</v>
      </c>
      <c r="I100" s="408" t="s">
        <v>28</v>
      </c>
      <c r="J100" s="408" t="s">
        <v>31</v>
      </c>
      <c r="K100" s="408" t="s">
        <v>35</v>
      </c>
      <c r="L100" s="408" t="s">
        <v>35</v>
      </c>
      <c r="M100" s="408" t="s">
        <v>35</v>
      </c>
      <c r="N100" s="595" t="str">
        <f t="shared" si="127"/>
        <v>Yes</v>
      </c>
      <c r="O100" s="596">
        <v>452</v>
      </c>
      <c r="P100" s="596">
        <v>3729</v>
      </c>
      <c r="Q100" s="597">
        <v>0</v>
      </c>
      <c r="R100" s="596">
        <f t="shared" si="174"/>
        <v>0</v>
      </c>
      <c r="S100" s="596">
        <f t="shared" si="175"/>
        <v>452</v>
      </c>
      <c r="T100" s="596">
        <f t="shared" si="128"/>
        <v>610.7876</v>
      </c>
      <c r="U100" s="598">
        <f t="shared" si="176"/>
        <v>1.4289517498684365E-4</v>
      </c>
      <c r="V100" s="599">
        <f t="shared" si="185"/>
        <v>0</v>
      </c>
      <c r="W100" s="600">
        <v>3680507.9772358974</v>
      </c>
      <c r="X100" s="600">
        <v>0</v>
      </c>
      <c r="Y100" s="600">
        <v>636363.53335445188</v>
      </c>
      <c r="Z100" s="600">
        <f t="shared" si="177"/>
        <v>0</v>
      </c>
      <c r="AA100" s="600">
        <f t="shared" si="178"/>
        <v>3680507.9772358974</v>
      </c>
      <c r="AB100" s="601">
        <f t="shared" si="129"/>
        <v>0</v>
      </c>
      <c r="AC100" s="599">
        <v>360043.6716888097</v>
      </c>
      <c r="AD100" s="599">
        <f>MAX(IF(M100="Yes",'Assumption Inputs'!$C$40,'Assumption Inputs'!$C$41),AC100)</f>
        <v>6000000</v>
      </c>
      <c r="AE100" s="599">
        <f t="shared" si="186"/>
        <v>2387545.5248329272</v>
      </c>
      <c r="AF100" s="599">
        <f t="shared" si="130"/>
        <v>1292962.4524029708</v>
      </c>
      <c r="AG100" s="599">
        <f t="shared" si="187"/>
        <v>0</v>
      </c>
      <c r="AH100" s="599">
        <f t="shared" si="188"/>
        <v>3680507.9772358979</v>
      </c>
      <c r="AI100" s="599">
        <v>7088392.1283173412</v>
      </c>
      <c r="AJ100" s="599">
        <v>7088392.1283173412</v>
      </c>
      <c r="AK100" s="602">
        <f t="shared" si="179"/>
        <v>1</v>
      </c>
      <c r="AL100" s="603">
        <f t="shared" si="131"/>
        <v>0</v>
      </c>
      <c r="AM100" s="600">
        <f t="shared" si="180"/>
        <v>2387545.5248329272</v>
      </c>
      <c r="AN100" s="600">
        <f t="shared" si="132"/>
        <v>2387545.5248329272</v>
      </c>
      <c r="AO100" s="600">
        <f t="shared" si="133"/>
        <v>0</v>
      </c>
      <c r="AP100" s="600">
        <f t="shared" si="134"/>
        <v>1292962.4524029703</v>
      </c>
      <c r="AQ100" s="600">
        <f t="shared" si="181"/>
        <v>0</v>
      </c>
      <c r="AR100" s="600">
        <f t="shared" si="182"/>
        <v>2387545.5248329272</v>
      </c>
      <c r="AS100" s="604">
        <f t="shared" si="135"/>
        <v>1292962.4524029708</v>
      </c>
      <c r="AT100" s="605">
        <f t="shared" si="136"/>
        <v>0</v>
      </c>
      <c r="AU100" s="600">
        <f t="shared" si="137"/>
        <v>3680507.9772358979</v>
      </c>
      <c r="AV100" s="600">
        <f t="shared" si="138"/>
        <v>3680507.9772358974</v>
      </c>
      <c r="AW100" s="600">
        <f t="shared" si="139"/>
        <v>4.6566128730773926E-10</v>
      </c>
      <c r="AX100" s="600">
        <f t="shared" si="140"/>
        <v>0</v>
      </c>
      <c r="AY100" s="600">
        <f t="shared" si="141"/>
        <v>0</v>
      </c>
      <c r="AZ100" s="600">
        <f t="shared" si="142"/>
        <v>3680507.9772358974</v>
      </c>
      <c r="BA100" s="600">
        <f t="shared" si="143"/>
        <v>-1.6358681023120878E-10</v>
      </c>
      <c r="BB100" s="600">
        <f t="shared" si="144"/>
        <v>0</v>
      </c>
      <c r="BC100" s="600">
        <f t="shared" si="145"/>
        <v>0</v>
      </c>
      <c r="BD100" s="600">
        <f t="shared" si="146"/>
        <v>1292962.4524029705</v>
      </c>
      <c r="BE100" s="600">
        <f t="shared" si="147"/>
        <v>0</v>
      </c>
      <c r="BF100" s="600">
        <f t="shared" si="148"/>
        <v>2387545.5248329267</v>
      </c>
      <c r="BG100" s="600">
        <v>0</v>
      </c>
      <c r="BH100" s="600">
        <v>0</v>
      </c>
      <c r="BI100" s="600">
        <f t="shared" si="149"/>
        <v>0</v>
      </c>
      <c r="BJ100" s="600">
        <f t="shared" si="150"/>
        <v>3680507.98</v>
      </c>
      <c r="BK100" s="600">
        <f t="shared" si="151"/>
        <v>1292962.4533739998</v>
      </c>
      <c r="BL100" s="600">
        <v>3680507.98</v>
      </c>
      <c r="BM100" s="600">
        <f t="shared" si="152"/>
        <v>0</v>
      </c>
      <c r="BN100" s="600">
        <f t="shared" si="153"/>
        <v>0</v>
      </c>
      <c r="BO100" s="600">
        <f t="shared" si="154"/>
        <v>1292962.45</v>
      </c>
      <c r="BP100" s="600">
        <f t="shared" si="155"/>
        <v>1292962.4533739998</v>
      </c>
      <c r="BQ100" s="600">
        <f t="shared" si="156"/>
        <v>0</v>
      </c>
      <c r="BR100" s="600">
        <f t="shared" si="157"/>
        <v>1292962.45</v>
      </c>
      <c r="BT100" s="606">
        <f t="shared" si="158"/>
        <v>1.5192303012268153</v>
      </c>
      <c r="BU100" s="607">
        <f t="shared" si="159"/>
        <v>0</v>
      </c>
      <c r="BV100" s="606">
        <f t="shared" si="160"/>
        <v>1</v>
      </c>
      <c r="BW100" s="607">
        <f t="shared" si="161"/>
        <v>0</v>
      </c>
      <c r="BX100" s="607">
        <f t="shared" si="162"/>
        <v>0</v>
      </c>
      <c r="BY100" s="607">
        <f t="shared" si="163"/>
        <v>0</v>
      </c>
      <c r="BZ100" s="607">
        <f t="shared" si="164"/>
        <v>0</v>
      </c>
      <c r="CA100" s="607">
        <f t="shared" si="165"/>
        <v>0</v>
      </c>
      <c r="CB100" s="607">
        <f t="shared" si="183"/>
        <v>0</v>
      </c>
      <c r="CC100" s="607">
        <f t="shared" si="166"/>
        <v>0</v>
      </c>
      <c r="CD100" s="607">
        <f t="shared" si="167"/>
        <v>0</v>
      </c>
      <c r="CE100" s="607">
        <f t="shared" si="168"/>
        <v>0</v>
      </c>
      <c r="CF100" s="607">
        <f t="shared" si="169"/>
        <v>0</v>
      </c>
      <c r="CG100" s="607">
        <f t="shared" si="170"/>
        <v>0</v>
      </c>
      <c r="CH100" s="607">
        <f t="shared" si="171"/>
        <v>3680507.98</v>
      </c>
      <c r="CI100" s="609"/>
      <c r="CK100" s="610" t="str">
        <f t="shared" si="184"/>
        <v/>
      </c>
      <c r="CL100" s="611" t="str">
        <f>IF(CK100="","",COUNTIFS($CK$16:CK100,"Yes")+MAX(State!AD:AD))</f>
        <v/>
      </c>
      <c r="CM100" s="612" t="b">
        <f>IF(C100="", "", AND(INDEX('Summary Dynamic'!$D$8:$D$10, MATCH(H100, 'Summary Dynamic'!$C$8:$C$10, 0))="Include", INDEX('Summary Dynamic'!$D$12:$D$14, MATCH(I100, 'Summary Dynamic'!$C$12:$C$14, 0))="Include", INDEX('Summary Dynamic'!$D$16:$D$17, MATCH(J100, 'Summary Dynamic'!$C$16:$C$17, 0))="Include", INDEX('Summary Dynamic'!$D$19:$D$20, MATCH(K100, 'Summary Dynamic'!$C$19:$C$20, 0))="Include", INDEX('Summary Dynamic'!$D$25:$D$26, MATCH(L100, 'Summary Dynamic'!$C$25:$C$26, 0))="Include",'Summary Dynamic'!$D$23="Include"))</f>
        <v>1</v>
      </c>
      <c r="CN100" s="613">
        <f>IFERROR(IF(CM100=TRUE, COUNTIFS($CM$16:CM100, TRUE), ""), "")</f>
        <v>85</v>
      </c>
      <c r="CP100" s="614" t="str">
        <f t="shared" si="172"/>
        <v>Rural Public</v>
      </c>
      <c r="CY100" s="615"/>
      <c r="CZ100" s="616"/>
    </row>
    <row r="101" spans="2:104" x14ac:dyDescent="0.25">
      <c r="B101" s="617">
        <f t="shared" si="173"/>
        <v>86</v>
      </c>
      <c r="C101" s="593" t="s">
        <v>756</v>
      </c>
      <c r="D101" s="594" t="s">
        <v>756</v>
      </c>
      <c r="E101" s="594" t="s">
        <v>757</v>
      </c>
      <c r="F101" s="407" t="s">
        <v>758</v>
      </c>
      <c r="G101" s="408" t="s">
        <v>759</v>
      </c>
      <c r="H101" s="408" t="s">
        <v>22</v>
      </c>
      <c r="I101" s="408" t="s">
        <v>28</v>
      </c>
      <c r="J101" s="408" t="s">
        <v>31</v>
      </c>
      <c r="K101" s="408" t="s">
        <v>35</v>
      </c>
      <c r="L101" s="408" t="s">
        <v>35</v>
      </c>
      <c r="M101" s="408" t="s">
        <v>35</v>
      </c>
      <c r="N101" s="595" t="str">
        <f t="shared" si="127"/>
        <v>Yes</v>
      </c>
      <c r="O101" s="596">
        <v>723</v>
      </c>
      <c r="P101" s="596">
        <v>4459</v>
      </c>
      <c r="Q101" s="597">
        <v>0.19750094006424435</v>
      </c>
      <c r="R101" s="596">
        <f t="shared" si="174"/>
        <v>880.65669174646553</v>
      </c>
      <c r="S101" s="596">
        <f t="shared" si="175"/>
        <v>1603.6566917464656</v>
      </c>
      <c r="T101" s="596">
        <f t="shared" si="128"/>
        <v>2167.0212875569991</v>
      </c>
      <c r="U101" s="598">
        <f t="shared" si="176"/>
        <v>5.0697965395118136E-4</v>
      </c>
      <c r="V101" s="599">
        <f t="shared" si="185"/>
        <v>0</v>
      </c>
      <c r="W101" s="600">
        <v>4077372.9969479432</v>
      </c>
      <c r="X101" s="600">
        <v>0</v>
      </c>
      <c r="Y101" s="600">
        <v>791116.02576652914</v>
      </c>
      <c r="Z101" s="600">
        <f t="shared" si="177"/>
        <v>0</v>
      </c>
      <c r="AA101" s="600">
        <f t="shared" si="178"/>
        <v>4077372.9969479432</v>
      </c>
      <c r="AB101" s="601">
        <f t="shared" si="129"/>
        <v>0</v>
      </c>
      <c r="AC101" s="599">
        <v>1164422.2410029636</v>
      </c>
      <c r="AD101" s="599">
        <f>MAX(IF(M101="Yes",'Assumption Inputs'!$C$40,'Assumption Inputs'!$C$41),AC101)</f>
        <v>6000000</v>
      </c>
      <c r="AE101" s="599">
        <f t="shared" si="186"/>
        <v>2644991.8631201312</v>
      </c>
      <c r="AF101" s="599">
        <f t="shared" si="130"/>
        <v>1432381.1338278125</v>
      </c>
      <c r="AG101" s="599">
        <f t="shared" si="187"/>
        <v>0</v>
      </c>
      <c r="AH101" s="599">
        <f t="shared" si="188"/>
        <v>4077372.9969479437</v>
      </c>
      <c r="AI101" s="599">
        <v>8101662.6555136051</v>
      </c>
      <c r="AJ101" s="599">
        <v>8101662.6555136051</v>
      </c>
      <c r="AK101" s="602">
        <f t="shared" si="179"/>
        <v>1</v>
      </c>
      <c r="AL101" s="603">
        <f t="shared" si="131"/>
        <v>0</v>
      </c>
      <c r="AM101" s="600">
        <f t="shared" si="180"/>
        <v>2644991.8631201312</v>
      </c>
      <c r="AN101" s="600">
        <f t="shared" si="132"/>
        <v>2644991.8631201312</v>
      </c>
      <c r="AO101" s="600">
        <f t="shared" si="133"/>
        <v>0</v>
      </c>
      <c r="AP101" s="600">
        <f t="shared" si="134"/>
        <v>1432381.133827812</v>
      </c>
      <c r="AQ101" s="600">
        <f t="shared" si="181"/>
        <v>0</v>
      </c>
      <c r="AR101" s="600">
        <f t="shared" si="182"/>
        <v>2644991.8631201312</v>
      </c>
      <c r="AS101" s="604">
        <f t="shared" si="135"/>
        <v>1432381.1338278125</v>
      </c>
      <c r="AT101" s="605">
        <f t="shared" si="136"/>
        <v>0</v>
      </c>
      <c r="AU101" s="600">
        <f t="shared" si="137"/>
        <v>4077372.9969479437</v>
      </c>
      <c r="AV101" s="600">
        <f t="shared" si="138"/>
        <v>4077372.9969479432</v>
      </c>
      <c r="AW101" s="600">
        <f t="shared" si="139"/>
        <v>4.6566128730773926E-10</v>
      </c>
      <c r="AX101" s="600">
        <f t="shared" si="140"/>
        <v>0</v>
      </c>
      <c r="AY101" s="600">
        <f t="shared" si="141"/>
        <v>0</v>
      </c>
      <c r="AZ101" s="600">
        <f t="shared" si="142"/>
        <v>4077372.9969479432</v>
      </c>
      <c r="BA101" s="600">
        <f t="shared" si="143"/>
        <v>-1.6358681023120878E-10</v>
      </c>
      <c r="BB101" s="600">
        <f t="shared" si="144"/>
        <v>0</v>
      </c>
      <c r="BC101" s="600">
        <f t="shared" si="145"/>
        <v>0</v>
      </c>
      <c r="BD101" s="600">
        <f t="shared" si="146"/>
        <v>1432381.1338278123</v>
      </c>
      <c r="BE101" s="600">
        <f t="shared" si="147"/>
        <v>0</v>
      </c>
      <c r="BF101" s="600">
        <f t="shared" si="148"/>
        <v>2644991.8631201312</v>
      </c>
      <c r="BG101" s="600">
        <v>0</v>
      </c>
      <c r="BH101" s="600">
        <v>0</v>
      </c>
      <c r="BI101" s="600">
        <f t="shared" si="149"/>
        <v>0</v>
      </c>
      <c r="BJ101" s="600">
        <f t="shared" si="150"/>
        <v>4077373</v>
      </c>
      <c r="BK101" s="600">
        <f t="shared" si="151"/>
        <v>1432381.1348999997</v>
      </c>
      <c r="BL101" s="600">
        <v>4077373</v>
      </c>
      <c r="BM101" s="600">
        <f t="shared" si="152"/>
        <v>0</v>
      </c>
      <c r="BN101" s="600">
        <f t="shared" si="153"/>
        <v>0</v>
      </c>
      <c r="BO101" s="600">
        <f t="shared" si="154"/>
        <v>1432381.13</v>
      </c>
      <c r="BP101" s="600">
        <f t="shared" si="155"/>
        <v>1432381.1348999997</v>
      </c>
      <c r="BQ101" s="600">
        <f t="shared" si="156"/>
        <v>0</v>
      </c>
      <c r="BR101" s="600">
        <f t="shared" si="157"/>
        <v>1432381.13</v>
      </c>
      <c r="BT101" s="606">
        <f t="shared" si="158"/>
        <v>1.5032760771920235</v>
      </c>
      <c r="BU101" s="607">
        <f t="shared" si="159"/>
        <v>0</v>
      </c>
      <c r="BV101" s="606">
        <f t="shared" si="160"/>
        <v>1</v>
      </c>
      <c r="BW101" s="607">
        <f t="shared" si="161"/>
        <v>0</v>
      </c>
      <c r="BX101" s="607">
        <f t="shared" si="162"/>
        <v>0</v>
      </c>
      <c r="BY101" s="607">
        <f t="shared" si="163"/>
        <v>0</v>
      </c>
      <c r="BZ101" s="607">
        <f t="shared" si="164"/>
        <v>0</v>
      </c>
      <c r="CA101" s="607">
        <f t="shared" si="165"/>
        <v>0</v>
      </c>
      <c r="CB101" s="607">
        <f t="shared" si="183"/>
        <v>0</v>
      </c>
      <c r="CC101" s="607">
        <f t="shared" si="166"/>
        <v>0</v>
      </c>
      <c r="CD101" s="607">
        <f t="shared" si="167"/>
        <v>0</v>
      </c>
      <c r="CE101" s="607">
        <f t="shared" si="168"/>
        <v>0</v>
      </c>
      <c r="CF101" s="607">
        <f t="shared" si="169"/>
        <v>0</v>
      </c>
      <c r="CG101" s="607">
        <f t="shared" si="170"/>
        <v>0</v>
      </c>
      <c r="CH101" s="607">
        <f t="shared" si="171"/>
        <v>4077373</v>
      </c>
      <c r="CI101" s="609"/>
      <c r="CK101" s="610" t="str">
        <f t="shared" si="184"/>
        <v/>
      </c>
      <c r="CL101" s="611" t="str">
        <f>IF(CK101="","",COUNTIFS($CK$16:CK101,"Yes")+MAX(State!AD:AD))</f>
        <v/>
      </c>
      <c r="CM101" s="612" t="b">
        <f>IF(C101="", "", AND(INDEX('Summary Dynamic'!$D$8:$D$10, MATCH(H101, 'Summary Dynamic'!$C$8:$C$10, 0))="Include", INDEX('Summary Dynamic'!$D$12:$D$14, MATCH(I101, 'Summary Dynamic'!$C$12:$C$14, 0))="Include", INDEX('Summary Dynamic'!$D$16:$D$17, MATCH(J101, 'Summary Dynamic'!$C$16:$C$17, 0))="Include", INDEX('Summary Dynamic'!$D$19:$D$20, MATCH(K101, 'Summary Dynamic'!$C$19:$C$20, 0))="Include", INDEX('Summary Dynamic'!$D$25:$D$26, MATCH(L101, 'Summary Dynamic'!$C$25:$C$26, 0))="Include",'Summary Dynamic'!$D$23="Include"))</f>
        <v>1</v>
      </c>
      <c r="CN101" s="613">
        <f>IFERROR(IF(CM101=TRUE, COUNTIFS($CM$16:CM101, TRUE), ""), "")</f>
        <v>86</v>
      </c>
      <c r="CP101" s="614" t="str">
        <f t="shared" si="172"/>
        <v>Rural Public</v>
      </c>
      <c r="CY101" s="615"/>
      <c r="CZ101" s="616"/>
    </row>
    <row r="102" spans="2:104" x14ac:dyDescent="0.25">
      <c r="B102" s="617">
        <f t="shared" si="173"/>
        <v>87</v>
      </c>
      <c r="C102" s="593" t="s">
        <v>760</v>
      </c>
      <c r="D102" s="594" t="s">
        <v>760</v>
      </c>
      <c r="E102" s="594" t="s">
        <v>761</v>
      </c>
      <c r="F102" s="407" t="s">
        <v>762</v>
      </c>
      <c r="G102" s="408" t="s">
        <v>763</v>
      </c>
      <c r="H102" s="408" t="s">
        <v>22</v>
      </c>
      <c r="I102" s="408" t="s">
        <v>26</v>
      </c>
      <c r="J102" s="408" t="s">
        <v>31</v>
      </c>
      <c r="K102" s="408" t="s">
        <v>35</v>
      </c>
      <c r="L102" s="408" t="s">
        <v>35</v>
      </c>
      <c r="M102" s="408" t="s">
        <v>35</v>
      </c>
      <c r="N102" s="595" t="str">
        <f t="shared" si="127"/>
        <v>No</v>
      </c>
      <c r="O102" s="596">
        <v>1373</v>
      </c>
      <c r="P102" s="596">
        <v>11864</v>
      </c>
      <c r="Q102" s="597">
        <v>0.26496851482437833</v>
      </c>
      <c r="R102" s="596">
        <f t="shared" si="174"/>
        <v>3143.5864598764247</v>
      </c>
      <c r="S102" s="596">
        <f t="shared" si="175"/>
        <v>4516.5864598764247</v>
      </c>
      <c r="T102" s="596">
        <f t="shared" si="128"/>
        <v>4516.5864598764247</v>
      </c>
      <c r="U102" s="598">
        <f t="shared" si="176"/>
        <v>1.0566658729274307E-3</v>
      </c>
      <c r="V102" s="599">
        <f t="shared" si="185"/>
        <v>0</v>
      </c>
      <c r="W102" s="600">
        <v>5999954.8020512853</v>
      </c>
      <c r="X102" s="600">
        <v>0</v>
      </c>
      <c r="Y102" s="600">
        <v>3779601.967900163</v>
      </c>
      <c r="Z102" s="600">
        <f t="shared" si="177"/>
        <v>0</v>
      </c>
      <c r="AA102" s="600">
        <f t="shared" si="178"/>
        <v>5999954.8020512853</v>
      </c>
      <c r="AB102" s="601">
        <f t="shared" si="129"/>
        <v>0</v>
      </c>
      <c r="AC102" s="599">
        <v>0</v>
      </c>
      <c r="AD102" s="599">
        <f>MAX(IF(M102="Yes",'Assumption Inputs'!$C$40,'Assumption Inputs'!$C$41),AC102)</f>
        <v>6000000</v>
      </c>
      <c r="AE102" s="599">
        <f t="shared" si="186"/>
        <v>3892170.6800906691</v>
      </c>
      <c r="AF102" s="599">
        <f t="shared" si="130"/>
        <v>0</v>
      </c>
      <c r="AG102" s="599">
        <f t="shared" si="187"/>
        <v>0</v>
      </c>
      <c r="AH102" s="599">
        <f t="shared" si="188"/>
        <v>3892170.6800906691</v>
      </c>
      <c r="AI102" s="599">
        <v>14737469.111312969</v>
      </c>
      <c r="AJ102" s="599">
        <v>12629684.989352353</v>
      </c>
      <c r="AK102" s="602">
        <f t="shared" si="179"/>
        <v>0.85697787686336113</v>
      </c>
      <c r="AL102" s="603">
        <f t="shared" si="131"/>
        <v>0</v>
      </c>
      <c r="AM102" s="600">
        <f t="shared" si="180"/>
        <v>3892170.6800906691</v>
      </c>
      <c r="AN102" s="600">
        <f t="shared" si="132"/>
        <v>3892170.6800906691</v>
      </c>
      <c r="AO102" s="600">
        <f t="shared" si="133"/>
        <v>0</v>
      </c>
      <c r="AP102" s="600">
        <f t="shared" si="134"/>
        <v>2107784.1219606162</v>
      </c>
      <c r="AQ102" s="600">
        <f t="shared" si="181"/>
        <v>0</v>
      </c>
      <c r="AR102" s="600">
        <f t="shared" si="182"/>
        <v>3892170.6800906691</v>
      </c>
      <c r="AS102" s="604">
        <f t="shared" si="135"/>
        <v>0</v>
      </c>
      <c r="AT102" s="605">
        <f t="shared" si="136"/>
        <v>0</v>
      </c>
      <c r="AU102" s="600">
        <f t="shared" si="137"/>
        <v>3892170.6800906691</v>
      </c>
      <c r="AV102" s="600">
        <f t="shared" si="138"/>
        <v>3892170.6800906691</v>
      </c>
      <c r="AW102" s="600">
        <f t="shared" si="139"/>
        <v>0</v>
      </c>
      <c r="AX102" s="600">
        <f t="shared" si="140"/>
        <v>2107784.1219606162</v>
      </c>
      <c r="AY102" s="600">
        <f t="shared" si="141"/>
        <v>4.1471689476690961E-12</v>
      </c>
      <c r="AZ102" s="600">
        <f t="shared" si="142"/>
        <v>3892170.6800906691</v>
      </c>
      <c r="BA102" s="600">
        <f t="shared" si="143"/>
        <v>0</v>
      </c>
      <c r="BB102" s="600">
        <f t="shared" si="144"/>
        <v>0</v>
      </c>
      <c r="BC102" s="600">
        <f t="shared" si="145"/>
        <v>0</v>
      </c>
      <c r="BD102" s="600">
        <f t="shared" si="146"/>
        <v>0</v>
      </c>
      <c r="BE102" s="600">
        <f t="shared" si="147"/>
        <v>2107784.1219606162</v>
      </c>
      <c r="BF102" s="600">
        <f t="shared" si="148"/>
        <v>3892170.6800906691</v>
      </c>
      <c r="BG102" s="600">
        <v>0</v>
      </c>
      <c r="BH102" s="600">
        <v>0</v>
      </c>
      <c r="BI102" s="600">
        <f t="shared" si="149"/>
        <v>0</v>
      </c>
      <c r="BJ102" s="600">
        <f t="shared" si="150"/>
        <v>3892170.68</v>
      </c>
      <c r="BK102" s="600">
        <f t="shared" si="151"/>
        <v>1367319.5598839999</v>
      </c>
      <c r="BL102" s="600">
        <v>3892170.68</v>
      </c>
      <c r="BM102" s="600">
        <f t="shared" si="152"/>
        <v>0</v>
      </c>
      <c r="BN102" s="600">
        <f t="shared" si="153"/>
        <v>0</v>
      </c>
      <c r="BO102" s="600">
        <f t="shared" si="154"/>
        <v>0</v>
      </c>
      <c r="BP102" s="600">
        <f t="shared" si="155"/>
        <v>1367319.5598839999</v>
      </c>
      <c r="BQ102" s="600">
        <f t="shared" si="156"/>
        <v>0</v>
      </c>
      <c r="BR102" s="600">
        <f t="shared" si="157"/>
        <v>0</v>
      </c>
      <c r="BT102" s="606">
        <f t="shared" si="158"/>
        <v>1</v>
      </c>
      <c r="BU102" s="607">
        <f t="shared" si="159"/>
        <v>0</v>
      </c>
      <c r="BV102" s="606">
        <f t="shared" si="160"/>
        <v>1.121078222085611</v>
      </c>
      <c r="BW102" s="607">
        <f t="shared" si="161"/>
        <v>0</v>
      </c>
      <c r="BX102" s="607">
        <f t="shared" si="162"/>
        <v>0</v>
      </c>
      <c r="BY102" s="607">
        <f t="shared" si="163"/>
        <v>0</v>
      </c>
      <c r="BZ102" s="607">
        <f t="shared" si="164"/>
        <v>0</v>
      </c>
      <c r="CA102" s="607">
        <f t="shared" si="165"/>
        <v>0</v>
      </c>
      <c r="CB102" s="607">
        <f t="shared" si="183"/>
        <v>0</v>
      </c>
      <c r="CC102" s="607">
        <f t="shared" si="166"/>
        <v>740464.5620447644</v>
      </c>
      <c r="CD102" s="607">
        <f t="shared" si="167"/>
        <v>2107784.1219606162</v>
      </c>
      <c r="CE102" s="607">
        <f t="shared" si="168"/>
        <v>2107784.1219606162</v>
      </c>
      <c r="CF102" s="607">
        <f t="shared" si="169"/>
        <v>1015894.97</v>
      </c>
      <c r="CG102" s="607">
        <f t="shared" si="170"/>
        <v>0</v>
      </c>
      <c r="CH102" s="607">
        <f t="shared" si="171"/>
        <v>4908065.6500000004</v>
      </c>
      <c r="CI102" s="609"/>
      <c r="CK102" s="610" t="str">
        <f t="shared" si="184"/>
        <v/>
      </c>
      <c r="CL102" s="611" t="str">
        <f>IF(CK102="","",COUNTIFS($CK$16:CK102,"Yes")+MAX(State!AD:AD))</f>
        <v/>
      </c>
      <c r="CM102" s="612" t="b">
        <f>IF(C102="", "", AND(INDEX('Summary Dynamic'!$D$8:$D$10, MATCH(H102, 'Summary Dynamic'!$C$8:$C$10, 0))="Include", INDEX('Summary Dynamic'!$D$12:$D$14, MATCH(I102, 'Summary Dynamic'!$C$12:$C$14, 0))="Include", INDEX('Summary Dynamic'!$D$16:$D$17, MATCH(J102, 'Summary Dynamic'!$C$16:$C$17, 0))="Include", INDEX('Summary Dynamic'!$D$19:$D$20, MATCH(K102, 'Summary Dynamic'!$C$19:$C$20, 0))="Include", INDEX('Summary Dynamic'!$D$25:$D$26, MATCH(L102, 'Summary Dynamic'!$C$25:$C$26, 0))="Include",'Summary Dynamic'!$D$23="Include"))</f>
        <v>1</v>
      </c>
      <c r="CN102" s="613">
        <f>IFERROR(IF(CM102=TRUE, COUNTIFS($CM$16:CM102, TRUE), ""), "")</f>
        <v>87</v>
      </c>
      <c r="CP102" s="614" t="str">
        <f t="shared" si="172"/>
        <v>Rural Private</v>
      </c>
      <c r="CY102" s="615"/>
      <c r="CZ102" s="616"/>
    </row>
    <row r="103" spans="2:104" x14ac:dyDescent="0.25">
      <c r="B103" s="617">
        <f t="shared" si="173"/>
        <v>88</v>
      </c>
      <c r="C103" s="593" t="s">
        <v>764</v>
      </c>
      <c r="D103" s="594" t="s">
        <v>764</v>
      </c>
      <c r="E103" s="594" t="s">
        <v>765</v>
      </c>
      <c r="F103" s="407" t="s">
        <v>766</v>
      </c>
      <c r="G103" s="408" t="s">
        <v>608</v>
      </c>
      <c r="H103" s="408" t="s">
        <v>22</v>
      </c>
      <c r="I103" s="408" t="s">
        <v>26</v>
      </c>
      <c r="J103" s="408" t="s">
        <v>35</v>
      </c>
      <c r="K103" s="408" t="s">
        <v>35</v>
      </c>
      <c r="L103" s="408" t="s">
        <v>35</v>
      </c>
      <c r="M103" s="408" t="s">
        <v>35</v>
      </c>
      <c r="N103" s="595" t="str">
        <f t="shared" si="127"/>
        <v>No</v>
      </c>
      <c r="O103" s="596">
        <v>10522</v>
      </c>
      <c r="P103" s="596">
        <v>96097</v>
      </c>
      <c r="Q103" s="597">
        <v>6.2460403817989986E-2</v>
      </c>
      <c r="R103" s="596">
        <f t="shared" si="174"/>
        <v>6002.257425697384</v>
      </c>
      <c r="S103" s="596">
        <f t="shared" si="175"/>
        <v>16524.257425697382</v>
      </c>
      <c r="T103" s="596">
        <f t="shared" si="128"/>
        <v>16524.257425697382</v>
      </c>
      <c r="U103" s="598">
        <f t="shared" si="176"/>
        <v>3.8658883323313665E-3</v>
      </c>
      <c r="V103" s="599">
        <f t="shared" si="185"/>
        <v>0</v>
      </c>
      <c r="W103" s="600">
        <v>36701705.500400938</v>
      </c>
      <c r="X103" s="600">
        <v>0</v>
      </c>
      <c r="Y103" s="600">
        <v>3118331.7152283154</v>
      </c>
      <c r="Z103" s="600">
        <f t="shared" si="177"/>
        <v>0</v>
      </c>
      <c r="AA103" s="600">
        <f t="shared" si="178"/>
        <v>36701705.500400938</v>
      </c>
      <c r="AB103" s="601">
        <f t="shared" si="129"/>
        <v>0</v>
      </c>
      <c r="AC103" s="599">
        <v>5452907.2983019743</v>
      </c>
      <c r="AD103" s="599">
        <f>MAX(IF(M103="Yes",'Assumption Inputs'!$C$40,'Assumption Inputs'!$C$41),AC103)</f>
        <v>6000000</v>
      </c>
      <c r="AE103" s="599">
        <f t="shared" si="186"/>
        <v>6000000</v>
      </c>
      <c r="AF103" s="599">
        <f t="shared" si="130"/>
        <v>0</v>
      </c>
      <c r="AG103" s="599">
        <f t="shared" si="187"/>
        <v>0</v>
      </c>
      <c r="AH103" s="599">
        <f t="shared" si="188"/>
        <v>6000000</v>
      </c>
      <c r="AI103" s="599">
        <v>77169453.141255528</v>
      </c>
      <c r="AJ103" s="599">
        <v>46467747.640854582</v>
      </c>
      <c r="AK103" s="602">
        <f t="shared" si="179"/>
        <v>0.60215209191384667</v>
      </c>
      <c r="AL103" s="603">
        <f t="shared" si="131"/>
        <v>911706.08584608138</v>
      </c>
      <c r="AM103" s="600">
        <f t="shared" si="180"/>
        <v>6911706.0858460814</v>
      </c>
      <c r="AN103" s="600">
        <f t="shared" si="132"/>
        <v>6911706.0858460814</v>
      </c>
      <c r="AO103" s="600">
        <f t="shared" si="133"/>
        <v>0</v>
      </c>
      <c r="AP103" s="600">
        <f t="shared" si="134"/>
        <v>29789999.414554857</v>
      </c>
      <c r="AQ103" s="600">
        <f t="shared" si="181"/>
        <v>0</v>
      </c>
      <c r="AR103" s="600">
        <f t="shared" si="182"/>
        <v>6911706.0858460814</v>
      </c>
      <c r="AS103" s="604">
        <f t="shared" si="135"/>
        <v>0</v>
      </c>
      <c r="AT103" s="605">
        <f t="shared" si="136"/>
        <v>0</v>
      </c>
      <c r="AU103" s="600">
        <f t="shared" si="137"/>
        <v>6911706.0858460814</v>
      </c>
      <c r="AV103" s="600">
        <f t="shared" si="138"/>
        <v>6911706.0858460814</v>
      </c>
      <c r="AW103" s="600">
        <f t="shared" si="139"/>
        <v>0</v>
      </c>
      <c r="AX103" s="600">
        <f t="shared" si="140"/>
        <v>29789999.414554857</v>
      </c>
      <c r="AY103" s="600">
        <f t="shared" si="141"/>
        <v>5.8613289300331325E-11</v>
      </c>
      <c r="AZ103" s="600">
        <f t="shared" si="142"/>
        <v>6911706.0858460814</v>
      </c>
      <c r="BA103" s="600">
        <f t="shared" si="143"/>
        <v>0</v>
      </c>
      <c r="BB103" s="600">
        <f t="shared" si="144"/>
        <v>0</v>
      </c>
      <c r="BC103" s="600">
        <f t="shared" si="145"/>
        <v>0</v>
      </c>
      <c r="BD103" s="600">
        <f t="shared" si="146"/>
        <v>0</v>
      </c>
      <c r="BE103" s="600">
        <f t="shared" si="147"/>
        <v>29789999.414554857</v>
      </c>
      <c r="BF103" s="600">
        <f t="shared" si="148"/>
        <v>6911706.0858460814</v>
      </c>
      <c r="BG103" s="600">
        <v>0</v>
      </c>
      <c r="BH103" s="600">
        <v>0</v>
      </c>
      <c r="BI103" s="600">
        <f t="shared" si="149"/>
        <v>0</v>
      </c>
      <c r="BJ103" s="600">
        <f t="shared" si="150"/>
        <v>6911706.0899999999</v>
      </c>
      <c r="BK103" s="600">
        <f t="shared" si="151"/>
        <v>2428082.3494169996</v>
      </c>
      <c r="BL103" s="600">
        <v>6911706.0899999999</v>
      </c>
      <c r="BM103" s="600">
        <f t="shared" si="152"/>
        <v>0</v>
      </c>
      <c r="BN103" s="600">
        <f t="shared" si="153"/>
        <v>0</v>
      </c>
      <c r="BO103" s="600">
        <f t="shared" si="154"/>
        <v>0</v>
      </c>
      <c r="BP103" s="600">
        <f t="shared" si="155"/>
        <v>2428082.3494169996</v>
      </c>
      <c r="BQ103" s="600">
        <f t="shared" si="156"/>
        <v>0</v>
      </c>
      <c r="BR103" s="600">
        <f t="shared" si="157"/>
        <v>0</v>
      </c>
      <c r="BT103" s="606">
        <f t="shared" si="158"/>
        <v>1</v>
      </c>
      <c r="BU103" s="607">
        <f t="shared" si="159"/>
        <v>0</v>
      </c>
      <c r="BV103" s="606">
        <f t="shared" si="160"/>
        <v>1</v>
      </c>
      <c r="BW103" s="607">
        <f t="shared" si="161"/>
        <v>0</v>
      </c>
      <c r="BX103" s="607">
        <f t="shared" si="162"/>
        <v>0</v>
      </c>
      <c r="BY103" s="607">
        <f t="shared" si="163"/>
        <v>0</v>
      </c>
      <c r="BZ103" s="607">
        <f t="shared" si="164"/>
        <v>0</v>
      </c>
      <c r="CA103" s="607">
        <f t="shared" si="165"/>
        <v>0</v>
      </c>
      <c r="CB103" s="607">
        <f t="shared" si="183"/>
        <v>0</v>
      </c>
      <c r="CC103" s="607">
        <f t="shared" si="166"/>
        <v>0</v>
      </c>
      <c r="CD103" s="607">
        <f t="shared" si="167"/>
        <v>0</v>
      </c>
      <c r="CE103" s="607">
        <f t="shared" si="168"/>
        <v>0</v>
      </c>
      <c r="CF103" s="607">
        <f t="shared" si="169"/>
        <v>0</v>
      </c>
      <c r="CG103" s="607">
        <f t="shared" si="170"/>
        <v>0</v>
      </c>
      <c r="CH103" s="607">
        <f t="shared" si="171"/>
        <v>6911706.0899999999</v>
      </c>
      <c r="CI103" s="609"/>
      <c r="CK103" s="610" t="str">
        <f t="shared" si="184"/>
        <v/>
      </c>
      <c r="CL103" s="611" t="str">
        <f>IF(CK103="","",COUNTIFS($CK$16:CK103,"Yes")+MAX(State!AD:AD))</f>
        <v/>
      </c>
      <c r="CM103" s="612" t="b">
        <f>IF(C103="", "", AND(INDEX('Summary Dynamic'!$D$8:$D$10, MATCH(H103, 'Summary Dynamic'!$C$8:$C$10, 0))="Include", INDEX('Summary Dynamic'!$D$12:$D$14, MATCH(I103, 'Summary Dynamic'!$C$12:$C$14, 0))="Include", INDEX('Summary Dynamic'!$D$16:$D$17, MATCH(J103, 'Summary Dynamic'!$C$16:$C$17, 0))="Include", INDEX('Summary Dynamic'!$D$19:$D$20, MATCH(K103, 'Summary Dynamic'!$C$19:$C$20, 0))="Include", INDEX('Summary Dynamic'!$D$25:$D$26, MATCH(L103, 'Summary Dynamic'!$C$25:$C$26, 0))="Include",'Summary Dynamic'!$D$23="Include"))</f>
        <v>1</v>
      </c>
      <c r="CN103" s="613">
        <f>IFERROR(IF(CM103=TRUE, COUNTIFS($CM$16:CM103, TRUE), ""), "")</f>
        <v>88</v>
      </c>
      <c r="CP103" s="614" t="str">
        <f t="shared" si="172"/>
        <v>Non-Rural Private</v>
      </c>
      <c r="CY103" s="615"/>
      <c r="CZ103" s="616"/>
    </row>
    <row r="104" spans="2:104" x14ac:dyDescent="0.25">
      <c r="B104" s="617">
        <f t="shared" si="173"/>
        <v>89</v>
      </c>
      <c r="C104" s="593" t="s">
        <v>767</v>
      </c>
      <c r="D104" s="594" t="s">
        <v>767</v>
      </c>
      <c r="E104" s="594" t="s">
        <v>768</v>
      </c>
      <c r="F104" s="407" t="s">
        <v>769</v>
      </c>
      <c r="G104" s="408" t="s">
        <v>770</v>
      </c>
      <c r="H104" s="408" t="s">
        <v>22</v>
      </c>
      <c r="I104" s="408" t="s">
        <v>28</v>
      </c>
      <c r="J104" s="408" t="s">
        <v>31</v>
      </c>
      <c r="K104" s="408" t="s">
        <v>35</v>
      </c>
      <c r="L104" s="408" t="s">
        <v>35</v>
      </c>
      <c r="M104" s="408" t="s">
        <v>35</v>
      </c>
      <c r="N104" s="595" t="str">
        <f t="shared" si="127"/>
        <v>Yes</v>
      </c>
      <c r="O104" s="596">
        <v>522</v>
      </c>
      <c r="P104" s="596">
        <v>2188</v>
      </c>
      <c r="Q104" s="597">
        <v>1</v>
      </c>
      <c r="R104" s="596">
        <f t="shared" si="174"/>
        <v>2188</v>
      </c>
      <c r="S104" s="596">
        <f t="shared" si="175"/>
        <v>2710</v>
      </c>
      <c r="T104" s="596">
        <f t="shared" si="128"/>
        <v>3662.0229999999997</v>
      </c>
      <c r="U104" s="598">
        <f t="shared" si="176"/>
        <v>8.567387703857217E-4</v>
      </c>
      <c r="V104" s="599">
        <f t="shared" si="185"/>
        <v>0</v>
      </c>
      <c r="W104" s="600">
        <v>5396420.6038586721</v>
      </c>
      <c r="X104" s="600">
        <v>0</v>
      </c>
      <c r="Y104" s="600">
        <v>552467.00303051434</v>
      </c>
      <c r="Z104" s="600">
        <f t="shared" si="177"/>
        <v>0</v>
      </c>
      <c r="AA104" s="600">
        <f t="shared" si="178"/>
        <v>5396420.6038586721</v>
      </c>
      <c r="AB104" s="601">
        <f t="shared" si="129"/>
        <v>0</v>
      </c>
      <c r="AC104" s="599">
        <v>2565826.3247521902</v>
      </c>
      <c r="AD104" s="599">
        <f>MAX(IF(M104="Yes",'Assumption Inputs'!$C$40,'Assumption Inputs'!$C$41),AC104)</f>
        <v>6000000</v>
      </c>
      <c r="AE104" s="599">
        <f t="shared" si="186"/>
        <v>3500658.0457231211</v>
      </c>
      <c r="AF104" s="599">
        <f t="shared" si="130"/>
        <v>1895762.5581355512</v>
      </c>
      <c r="AG104" s="599">
        <f t="shared" si="187"/>
        <v>0</v>
      </c>
      <c r="AH104" s="599">
        <f t="shared" si="188"/>
        <v>5396420.6038586721</v>
      </c>
      <c r="AI104" s="599">
        <v>8999701.6125985701</v>
      </c>
      <c r="AJ104" s="599">
        <v>8999701.6125985701</v>
      </c>
      <c r="AK104" s="602">
        <f t="shared" si="179"/>
        <v>1</v>
      </c>
      <c r="AL104" s="603">
        <f t="shared" si="131"/>
        <v>0</v>
      </c>
      <c r="AM104" s="600">
        <f t="shared" si="180"/>
        <v>3500658.0457231211</v>
      </c>
      <c r="AN104" s="600">
        <f t="shared" si="132"/>
        <v>3500658.0457231211</v>
      </c>
      <c r="AO104" s="600">
        <f t="shared" si="133"/>
        <v>0</v>
      </c>
      <c r="AP104" s="600">
        <f t="shared" si="134"/>
        <v>1895762.5581355509</v>
      </c>
      <c r="AQ104" s="600">
        <f t="shared" si="181"/>
        <v>0</v>
      </c>
      <c r="AR104" s="600">
        <f t="shared" si="182"/>
        <v>3500658.0457231211</v>
      </c>
      <c r="AS104" s="604">
        <f t="shared" si="135"/>
        <v>1895762.5581355512</v>
      </c>
      <c r="AT104" s="605">
        <f t="shared" si="136"/>
        <v>0</v>
      </c>
      <c r="AU104" s="600">
        <f t="shared" si="137"/>
        <v>5396420.6038586721</v>
      </c>
      <c r="AV104" s="600">
        <f t="shared" si="138"/>
        <v>5396420.6038586721</v>
      </c>
      <c r="AW104" s="600">
        <f t="shared" si="139"/>
        <v>0</v>
      </c>
      <c r="AX104" s="600">
        <f t="shared" si="140"/>
        <v>0</v>
      </c>
      <c r="AY104" s="600">
        <f t="shared" si="141"/>
        <v>0</v>
      </c>
      <c r="AZ104" s="600">
        <f t="shared" si="142"/>
        <v>5396420.6038586721</v>
      </c>
      <c r="BA104" s="600">
        <f t="shared" si="143"/>
        <v>0</v>
      </c>
      <c r="BB104" s="600">
        <f t="shared" si="144"/>
        <v>0</v>
      </c>
      <c r="BC104" s="600">
        <f t="shared" si="145"/>
        <v>0</v>
      </c>
      <c r="BD104" s="600">
        <f t="shared" si="146"/>
        <v>1895762.5581355512</v>
      </c>
      <c r="BE104" s="600">
        <f t="shared" si="147"/>
        <v>0</v>
      </c>
      <c r="BF104" s="600">
        <f t="shared" si="148"/>
        <v>3500658.0457231207</v>
      </c>
      <c r="BG104" s="600">
        <v>0</v>
      </c>
      <c r="BH104" s="600">
        <v>0</v>
      </c>
      <c r="BI104" s="600">
        <f t="shared" si="149"/>
        <v>0</v>
      </c>
      <c r="BJ104" s="600">
        <f t="shared" si="150"/>
        <v>5396420.5999999996</v>
      </c>
      <c r="BK104" s="600">
        <f t="shared" si="151"/>
        <v>1895762.5567799995</v>
      </c>
      <c r="BL104" s="600">
        <v>5396420.5999999996</v>
      </c>
      <c r="BM104" s="600">
        <f t="shared" si="152"/>
        <v>0</v>
      </c>
      <c r="BN104" s="600">
        <f t="shared" si="153"/>
        <v>0</v>
      </c>
      <c r="BO104" s="600">
        <f t="shared" si="154"/>
        <v>1895762.56</v>
      </c>
      <c r="BP104" s="600">
        <f t="shared" si="155"/>
        <v>1895762.5567799995</v>
      </c>
      <c r="BQ104" s="600">
        <f t="shared" si="156"/>
        <v>0</v>
      </c>
      <c r="BR104" s="600">
        <f t="shared" si="157"/>
        <v>1895762.56</v>
      </c>
      <c r="BT104" s="606">
        <f t="shared" si="158"/>
        <v>1.5996221688556449</v>
      </c>
      <c r="BU104" s="607">
        <f t="shared" si="159"/>
        <v>0</v>
      </c>
      <c r="BV104" s="606">
        <f t="shared" si="160"/>
        <v>1</v>
      </c>
      <c r="BW104" s="607">
        <f t="shared" si="161"/>
        <v>0</v>
      </c>
      <c r="BX104" s="607">
        <f t="shared" si="162"/>
        <v>0</v>
      </c>
      <c r="BY104" s="607">
        <f t="shared" si="163"/>
        <v>0</v>
      </c>
      <c r="BZ104" s="607">
        <f t="shared" si="164"/>
        <v>0</v>
      </c>
      <c r="CA104" s="607">
        <f t="shared" si="165"/>
        <v>0</v>
      </c>
      <c r="CB104" s="607">
        <f t="shared" si="183"/>
        <v>0</v>
      </c>
      <c r="CC104" s="607">
        <f t="shared" si="166"/>
        <v>0</v>
      </c>
      <c r="CD104" s="607">
        <f t="shared" si="167"/>
        <v>0</v>
      </c>
      <c r="CE104" s="607">
        <f t="shared" si="168"/>
        <v>0</v>
      </c>
      <c r="CF104" s="607">
        <f t="shared" si="169"/>
        <v>0</v>
      </c>
      <c r="CG104" s="607">
        <f t="shared" si="170"/>
        <v>0</v>
      </c>
      <c r="CH104" s="607">
        <f t="shared" si="171"/>
        <v>5396420.5999999996</v>
      </c>
      <c r="CI104" s="609"/>
      <c r="CK104" s="610" t="str">
        <f t="shared" si="184"/>
        <v/>
      </c>
      <c r="CL104" s="611" t="str">
        <f>IF(CK104="","",COUNTIFS($CK$16:CK104,"Yes")+MAX(State!AD:AD))</f>
        <v/>
      </c>
      <c r="CM104" s="612" t="b">
        <f>IF(C104="", "", AND(INDEX('Summary Dynamic'!$D$8:$D$10, MATCH(H104, 'Summary Dynamic'!$C$8:$C$10, 0))="Include", INDEX('Summary Dynamic'!$D$12:$D$14, MATCH(I104, 'Summary Dynamic'!$C$12:$C$14, 0))="Include", INDEX('Summary Dynamic'!$D$16:$D$17, MATCH(J104, 'Summary Dynamic'!$C$16:$C$17, 0))="Include", INDEX('Summary Dynamic'!$D$19:$D$20, MATCH(K104, 'Summary Dynamic'!$C$19:$C$20, 0))="Include", INDEX('Summary Dynamic'!$D$25:$D$26, MATCH(L104, 'Summary Dynamic'!$C$25:$C$26, 0))="Include",'Summary Dynamic'!$D$23="Include"))</f>
        <v>1</v>
      </c>
      <c r="CN104" s="613">
        <f>IFERROR(IF(CM104=TRUE, COUNTIFS($CM$16:CM104, TRUE), ""), "")</f>
        <v>89</v>
      </c>
      <c r="CP104" s="614" t="str">
        <f t="shared" si="172"/>
        <v>Rural Public</v>
      </c>
      <c r="CY104" s="615"/>
      <c r="CZ104" s="616"/>
    </row>
    <row r="105" spans="2:104" x14ac:dyDescent="0.25">
      <c r="B105" s="617">
        <f t="shared" si="173"/>
        <v>90</v>
      </c>
      <c r="C105" s="593" t="s">
        <v>771</v>
      </c>
      <c r="D105" s="594" t="s">
        <v>771</v>
      </c>
      <c r="E105" s="594" t="s">
        <v>772</v>
      </c>
      <c r="F105" s="407" t="s">
        <v>773</v>
      </c>
      <c r="G105" s="408" t="s">
        <v>774</v>
      </c>
      <c r="H105" s="408" t="s">
        <v>22</v>
      </c>
      <c r="I105" s="408" t="s">
        <v>26</v>
      </c>
      <c r="J105" s="408" t="s">
        <v>35</v>
      </c>
      <c r="K105" s="408" t="s">
        <v>35</v>
      </c>
      <c r="L105" s="408" t="s">
        <v>35</v>
      </c>
      <c r="M105" s="408" t="s">
        <v>37</v>
      </c>
      <c r="N105" s="595" t="str">
        <f t="shared" si="127"/>
        <v>No</v>
      </c>
      <c r="O105" s="596">
        <v>26867</v>
      </c>
      <c r="P105" s="596">
        <v>102946</v>
      </c>
      <c r="Q105" s="597">
        <v>0.28270567777143962</v>
      </c>
      <c r="R105" s="596">
        <f t="shared" si="174"/>
        <v>29103.418703858624</v>
      </c>
      <c r="S105" s="596">
        <f t="shared" si="175"/>
        <v>55970.418703858624</v>
      </c>
      <c r="T105" s="596">
        <f t="shared" si="128"/>
        <v>55970.418703858624</v>
      </c>
      <c r="U105" s="598">
        <f t="shared" si="176"/>
        <v>1.3094409209968873E-2</v>
      </c>
      <c r="V105" s="599">
        <f t="shared" si="185"/>
        <v>0</v>
      </c>
      <c r="W105" s="600">
        <v>38835967.268781088</v>
      </c>
      <c r="X105" s="600">
        <v>0</v>
      </c>
      <c r="Y105" s="600">
        <v>19655931.825585864</v>
      </c>
      <c r="Z105" s="600">
        <f t="shared" si="177"/>
        <v>0</v>
      </c>
      <c r="AA105" s="600">
        <f t="shared" si="178"/>
        <v>38835967.268781088</v>
      </c>
      <c r="AB105" s="601">
        <f t="shared" si="129"/>
        <v>0</v>
      </c>
      <c r="AC105" s="599">
        <v>7243081.7956662597</v>
      </c>
      <c r="AD105" s="599">
        <f>MAX(IF(M105="Yes",'Assumption Inputs'!$C$40,'Assumption Inputs'!$C$41),AC105)</f>
        <v>8000000</v>
      </c>
      <c r="AE105" s="599">
        <f t="shared" si="186"/>
        <v>8000000</v>
      </c>
      <c r="AF105" s="599">
        <f t="shared" si="130"/>
        <v>0</v>
      </c>
      <c r="AG105" s="599">
        <f t="shared" si="187"/>
        <v>0</v>
      </c>
      <c r="AH105" s="599">
        <f t="shared" si="188"/>
        <v>8000000</v>
      </c>
      <c r="AI105" s="599">
        <v>119045690.13409474</v>
      </c>
      <c r="AJ105" s="599">
        <v>88209722.865313664</v>
      </c>
      <c r="AK105" s="602">
        <f t="shared" si="179"/>
        <v>0.74097367797148295</v>
      </c>
      <c r="AL105" s="603">
        <f t="shared" si="131"/>
        <v>0</v>
      </c>
      <c r="AM105" s="600">
        <f t="shared" si="180"/>
        <v>8000000</v>
      </c>
      <c r="AN105" s="600">
        <f t="shared" si="132"/>
        <v>8000000</v>
      </c>
      <c r="AO105" s="600">
        <f t="shared" si="133"/>
        <v>0</v>
      </c>
      <c r="AP105" s="600">
        <f t="shared" si="134"/>
        <v>30835967.268781088</v>
      </c>
      <c r="AQ105" s="600">
        <f t="shared" si="181"/>
        <v>0</v>
      </c>
      <c r="AR105" s="600">
        <f t="shared" si="182"/>
        <v>8000000</v>
      </c>
      <c r="AS105" s="604">
        <f t="shared" si="135"/>
        <v>0</v>
      </c>
      <c r="AT105" s="605">
        <f t="shared" si="136"/>
        <v>0</v>
      </c>
      <c r="AU105" s="600">
        <f t="shared" si="137"/>
        <v>8000000</v>
      </c>
      <c r="AV105" s="600">
        <f t="shared" si="138"/>
        <v>8000000</v>
      </c>
      <c r="AW105" s="600">
        <f t="shared" si="139"/>
        <v>0</v>
      </c>
      <c r="AX105" s="600">
        <f t="shared" si="140"/>
        <v>30835967.268781088</v>
      </c>
      <c r="AY105" s="600">
        <f t="shared" si="141"/>
        <v>6.0671282507563658E-11</v>
      </c>
      <c r="AZ105" s="600">
        <f t="shared" si="142"/>
        <v>8000000</v>
      </c>
      <c r="BA105" s="600">
        <f t="shared" si="143"/>
        <v>0</v>
      </c>
      <c r="BB105" s="600">
        <f t="shared" si="144"/>
        <v>0</v>
      </c>
      <c r="BC105" s="600">
        <f t="shared" si="145"/>
        <v>0</v>
      </c>
      <c r="BD105" s="600">
        <f t="shared" si="146"/>
        <v>0</v>
      </c>
      <c r="BE105" s="600">
        <f t="shared" si="147"/>
        <v>30835967.268781088</v>
      </c>
      <c r="BF105" s="600">
        <f t="shared" si="148"/>
        <v>8000000</v>
      </c>
      <c r="BG105" s="600">
        <v>0</v>
      </c>
      <c r="BH105" s="600">
        <v>0</v>
      </c>
      <c r="BI105" s="600">
        <f t="shared" si="149"/>
        <v>0</v>
      </c>
      <c r="BJ105" s="600">
        <f t="shared" si="150"/>
        <v>8000000</v>
      </c>
      <c r="BK105" s="600">
        <f t="shared" si="151"/>
        <v>2810399.9999999995</v>
      </c>
      <c r="BL105" s="600">
        <v>8000000</v>
      </c>
      <c r="BM105" s="600">
        <f t="shared" si="152"/>
        <v>0</v>
      </c>
      <c r="BN105" s="600">
        <f t="shared" si="153"/>
        <v>0</v>
      </c>
      <c r="BO105" s="600">
        <f t="shared" si="154"/>
        <v>0</v>
      </c>
      <c r="BP105" s="600">
        <f t="shared" si="155"/>
        <v>2810399.9999999995</v>
      </c>
      <c r="BQ105" s="600">
        <f t="shared" si="156"/>
        <v>0</v>
      </c>
      <c r="BR105" s="600">
        <f t="shared" si="157"/>
        <v>0</v>
      </c>
      <c r="BT105" s="606">
        <f t="shared" si="158"/>
        <v>1</v>
      </c>
      <c r="BU105" s="607">
        <f t="shared" si="159"/>
        <v>0</v>
      </c>
      <c r="BV105" s="606">
        <f t="shared" si="160"/>
        <v>1</v>
      </c>
      <c r="BW105" s="607">
        <f t="shared" si="161"/>
        <v>0</v>
      </c>
      <c r="BX105" s="607">
        <f t="shared" si="162"/>
        <v>0</v>
      </c>
      <c r="BY105" s="607">
        <f t="shared" si="163"/>
        <v>0</v>
      </c>
      <c r="BZ105" s="607">
        <f t="shared" si="164"/>
        <v>0</v>
      </c>
      <c r="CA105" s="607">
        <f t="shared" si="165"/>
        <v>0</v>
      </c>
      <c r="CB105" s="607">
        <f t="shared" si="183"/>
        <v>0</v>
      </c>
      <c r="CC105" s="607">
        <f t="shared" si="166"/>
        <v>0</v>
      </c>
      <c r="CD105" s="607">
        <f t="shared" si="167"/>
        <v>0</v>
      </c>
      <c r="CE105" s="607">
        <f t="shared" si="168"/>
        <v>0</v>
      </c>
      <c r="CF105" s="607">
        <f t="shared" si="169"/>
        <v>0</v>
      </c>
      <c r="CG105" s="607">
        <f t="shared" si="170"/>
        <v>0</v>
      </c>
      <c r="CH105" s="607">
        <f t="shared" si="171"/>
        <v>8000000</v>
      </c>
      <c r="CI105" s="609"/>
      <c r="CK105" s="610" t="str">
        <f t="shared" si="184"/>
        <v/>
      </c>
      <c r="CL105" s="611" t="str">
        <f>IF(CK105="","",COUNTIFS($CK$16:CK105,"Yes")+MAX(State!AD:AD))</f>
        <v/>
      </c>
      <c r="CM105" s="612" t="b">
        <f>IF(C105="", "", AND(INDEX('Summary Dynamic'!$D$8:$D$10, MATCH(H105, 'Summary Dynamic'!$C$8:$C$10, 0))="Include", INDEX('Summary Dynamic'!$D$12:$D$14, MATCH(I105, 'Summary Dynamic'!$C$12:$C$14, 0))="Include", INDEX('Summary Dynamic'!$D$16:$D$17, MATCH(J105, 'Summary Dynamic'!$C$16:$C$17, 0))="Include", INDEX('Summary Dynamic'!$D$19:$D$20, MATCH(K105, 'Summary Dynamic'!$C$19:$C$20, 0))="Include", INDEX('Summary Dynamic'!$D$25:$D$26, MATCH(L105, 'Summary Dynamic'!$C$25:$C$26, 0))="Include",'Summary Dynamic'!$D$23="Include"))</f>
        <v>1</v>
      </c>
      <c r="CN105" s="613">
        <f>IFERROR(IF(CM105=TRUE, COUNTIFS($CM$16:CM105, TRUE), ""), "")</f>
        <v>90</v>
      </c>
      <c r="CP105" s="614" t="str">
        <f t="shared" si="172"/>
        <v>Non-Rural Private</v>
      </c>
      <c r="CY105" s="615"/>
      <c r="CZ105" s="616"/>
    </row>
    <row r="106" spans="2:104" x14ac:dyDescent="0.25">
      <c r="B106" s="617">
        <f t="shared" si="173"/>
        <v>91</v>
      </c>
      <c r="C106" s="593" t="s">
        <v>775</v>
      </c>
      <c r="D106" s="594" t="s">
        <v>775</v>
      </c>
      <c r="E106" s="594" t="s">
        <v>776</v>
      </c>
      <c r="F106" s="407" t="s">
        <v>777</v>
      </c>
      <c r="G106" s="408" t="s">
        <v>503</v>
      </c>
      <c r="H106" s="408" t="s">
        <v>22</v>
      </c>
      <c r="I106" s="408" t="s">
        <v>26</v>
      </c>
      <c r="J106" s="408" t="s">
        <v>35</v>
      </c>
      <c r="K106" s="408" t="s">
        <v>35</v>
      </c>
      <c r="L106" s="408" t="s">
        <v>35</v>
      </c>
      <c r="M106" s="408" t="s">
        <v>37</v>
      </c>
      <c r="N106" s="595" t="str">
        <f t="shared" si="127"/>
        <v>No</v>
      </c>
      <c r="O106" s="596">
        <v>31967</v>
      </c>
      <c r="P106" s="596">
        <v>195502</v>
      </c>
      <c r="Q106" s="597">
        <v>0.13113341522656535</v>
      </c>
      <c r="R106" s="596">
        <f t="shared" si="174"/>
        <v>25636.844943623979</v>
      </c>
      <c r="S106" s="596">
        <f t="shared" si="175"/>
        <v>57603.844943623975</v>
      </c>
      <c r="T106" s="596">
        <f t="shared" si="128"/>
        <v>57603.844943623975</v>
      </c>
      <c r="U106" s="598">
        <f t="shared" si="176"/>
        <v>1.3476553065475062E-2</v>
      </c>
      <c r="V106" s="599">
        <f t="shared" si="185"/>
        <v>0</v>
      </c>
      <c r="W106" s="600">
        <v>33137087.132513121</v>
      </c>
      <c r="X106" s="600">
        <v>0</v>
      </c>
      <c r="Y106" s="600">
        <v>29505670.749562658</v>
      </c>
      <c r="Z106" s="600">
        <f t="shared" si="177"/>
        <v>0</v>
      </c>
      <c r="AA106" s="600">
        <f t="shared" si="178"/>
        <v>33137087.132513121</v>
      </c>
      <c r="AB106" s="601">
        <f t="shared" si="129"/>
        <v>0</v>
      </c>
      <c r="AC106" s="599">
        <v>0</v>
      </c>
      <c r="AD106" s="599">
        <f>MAX(IF(M106="Yes",'Assumption Inputs'!$C$40,'Assumption Inputs'!$C$41),AC106)</f>
        <v>8000000</v>
      </c>
      <c r="AE106" s="599">
        <f t="shared" si="186"/>
        <v>8000000</v>
      </c>
      <c r="AF106" s="599">
        <f t="shared" si="130"/>
        <v>0</v>
      </c>
      <c r="AG106" s="599">
        <f t="shared" si="187"/>
        <v>0</v>
      </c>
      <c r="AH106" s="599">
        <f t="shared" si="188"/>
        <v>8000000</v>
      </c>
      <c r="AI106" s="599">
        <v>200283986.84196267</v>
      </c>
      <c r="AJ106" s="599">
        <v>175146899.70944953</v>
      </c>
      <c r="AK106" s="602">
        <f t="shared" si="179"/>
        <v>0.8744927763378908</v>
      </c>
      <c r="AL106" s="603">
        <f t="shared" si="131"/>
        <v>0</v>
      </c>
      <c r="AM106" s="600">
        <f t="shared" si="180"/>
        <v>8000000</v>
      </c>
      <c r="AN106" s="600">
        <f t="shared" si="132"/>
        <v>8000000</v>
      </c>
      <c r="AO106" s="600">
        <f t="shared" si="133"/>
        <v>0</v>
      </c>
      <c r="AP106" s="600">
        <f t="shared" si="134"/>
        <v>25137087.132513121</v>
      </c>
      <c r="AQ106" s="600">
        <f t="shared" si="181"/>
        <v>0</v>
      </c>
      <c r="AR106" s="600">
        <f t="shared" si="182"/>
        <v>8000000</v>
      </c>
      <c r="AS106" s="604">
        <f t="shared" si="135"/>
        <v>0</v>
      </c>
      <c r="AT106" s="605">
        <f t="shared" si="136"/>
        <v>0</v>
      </c>
      <c r="AU106" s="600">
        <f t="shared" si="137"/>
        <v>8000000</v>
      </c>
      <c r="AV106" s="600">
        <f t="shared" si="138"/>
        <v>8000000</v>
      </c>
      <c r="AW106" s="600">
        <f t="shared" si="139"/>
        <v>0</v>
      </c>
      <c r="AX106" s="600">
        <f t="shared" si="140"/>
        <v>25137087.132513121</v>
      </c>
      <c r="AY106" s="600">
        <f t="shared" si="141"/>
        <v>4.9458455495832166E-11</v>
      </c>
      <c r="AZ106" s="600">
        <f t="shared" si="142"/>
        <v>8000000</v>
      </c>
      <c r="BA106" s="600">
        <f t="shared" si="143"/>
        <v>0</v>
      </c>
      <c r="BB106" s="600">
        <f t="shared" si="144"/>
        <v>0</v>
      </c>
      <c r="BC106" s="600">
        <f t="shared" si="145"/>
        <v>0</v>
      </c>
      <c r="BD106" s="600">
        <f t="shared" si="146"/>
        <v>0</v>
      </c>
      <c r="BE106" s="600">
        <f t="shared" si="147"/>
        <v>25137087.132513121</v>
      </c>
      <c r="BF106" s="600">
        <f t="shared" si="148"/>
        <v>8000000</v>
      </c>
      <c r="BG106" s="600">
        <v>0</v>
      </c>
      <c r="BH106" s="600">
        <v>0</v>
      </c>
      <c r="BI106" s="600">
        <f t="shared" si="149"/>
        <v>0</v>
      </c>
      <c r="BJ106" s="600">
        <f t="shared" si="150"/>
        <v>8000000</v>
      </c>
      <c r="BK106" s="600">
        <f t="shared" si="151"/>
        <v>2810399.9999999995</v>
      </c>
      <c r="BL106" s="600">
        <v>8000000</v>
      </c>
      <c r="BM106" s="600">
        <f t="shared" si="152"/>
        <v>0</v>
      </c>
      <c r="BN106" s="600">
        <f t="shared" si="153"/>
        <v>0</v>
      </c>
      <c r="BO106" s="600">
        <f t="shared" si="154"/>
        <v>0</v>
      </c>
      <c r="BP106" s="600">
        <f t="shared" si="155"/>
        <v>2810399.9999999995</v>
      </c>
      <c r="BQ106" s="600">
        <f t="shared" si="156"/>
        <v>0</v>
      </c>
      <c r="BR106" s="600">
        <f t="shared" si="157"/>
        <v>0</v>
      </c>
      <c r="BT106" s="606">
        <f t="shared" si="158"/>
        <v>1</v>
      </c>
      <c r="BU106" s="607">
        <f t="shared" si="159"/>
        <v>0</v>
      </c>
      <c r="BV106" s="606">
        <f t="shared" si="160"/>
        <v>1</v>
      </c>
      <c r="BW106" s="607">
        <f t="shared" si="161"/>
        <v>0</v>
      </c>
      <c r="BX106" s="607">
        <f t="shared" si="162"/>
        <v>0</v>
      </c>
      <c r="BY106" s="607">
        <f t="shared" si="163"/>
        <v>0</v>
      </c>
      <c r="BZ106" s="607">
        <f t="shared" si="164"/>
        <v>0</v>
      </c>
      <c r="CA106" s="607">
        <f t="shared" si="165"/>
        <v>0</v>
      </c>
      <c r="CB106" s="607">
        <f t="shared" si="183"/>
        <v>0</v>
      </c>
      <c r="CC106" s="607">
        <f t="shared" si="166"/>
        <v>0</v>
      </c>
      <c r="CD106" s="607">
        <f t="shared" si="167"/>
        <v>0</v>
      </c>
      <c r="CE106" s="607">
        <f t="shared" si="168"/>
        <v>0</v>
      </c>
      <c r="CF106" s="607">
        <f t="shared" si="169"/>
        <v>0</v>
      </c>
      <c r="CG106" s="607">
        <f t="shared" si="170"/>
        <v>0</v>
      </c>
      <c r="CH106" s="607">
        <f t="shared" si="171"/>
        <v>8000000</v>
      </c>
      <c r="CI106" s="609"/>
      <c r="CK106" s="610" t="str">
        <f t="shared" si="184"/>
        <v/>
      </c>
      <c r="CL106" s="611" t="str">
        <f>IF(CK106="","",COUNTIFS($CK$16:CK106,"Yes")+MAX(State!AD:AD))</f>
        <v/>
      </c>
      <c r="CM106" s="612" t="b">
        <f>IF(C106="", "", AND(INDEX('Summary Dynamic'!$D$8:$D$10, MATCH(H106, 'Summary Dynamic'!$C$8:$C$10, 0))="Include", INDEX('Summary Dynamic'!$D$12:$D$14, MATCH(I106, 'Summary Dynamic'!$C$12:$C$14, 0))="Include", INDEX('Summary Dynamic'!$D$16:$D$17, MATCH(J106, 'Summary Dynamic'!$C$16:$C$17, 0))="Include", INDEX('Summary Dynamic'!$D$19:$D$20, MATCH(K106, 'Summary Dynamic'!$C$19:$C$20, 0))="Include", INDEX('Summary Dynamic'!$D$25:$D$26, MATCH(L106, 'Summary Dynamic'!$C$25:$C$26, 0))="Include",'Summary Dynamic'!$D$23="Include"))</f>
        <v>1</v>
      </c>
      <c r="CN106" s="613">
        <f>IFERROR(IF(CM106=TRUE, COUNTIFS($CM$16:CM106, TRUE), ""), "")</f>
        <v>91</v>
      </c>
      <c r="CP106" s="614" t="str">
        <f t="shared" si="172"/>
        <v>Non-Rural Private</v>
      </c>
      <c r="CY106" s="615"/>
      <c r="CZ106" s="616"/>
    </row>
    <row r="107" spans="2:104" x14ac:dyDescent="0.25">
      <c r="B107" s="617">
        <f t="shared" si="173"/>
        <v>92</v>
      </c>
      <c r="C107" s="593" t="s">
        <v>778</v>
      </c>
      <c r="D107" s="594" t="s">
        <v>778</v>
      </c>
      <c r="E107" s="594" t="s">
        <v>779</v>
      </c>
      <c r="F107" s="407" t="s">
        <v>780</v>
      </c>
      <c r="G107" s="408" t="s">
        <v>282</v>
      </c>
      <c r="H107" s="408" t="s">
        <v>22</v>
      </c>
      <c r="I107" s="408" t="s">
        <v>26</v>
      </c>
      <c r="J107" s="408" t="s">
        <v>35</v>
      </c>
      <c r="K107" s="408" t="s">
        <v>35</v>
      </c>
      <c r="L107" s="408" t="s">
        <v>35</v>
      </c>
      <c r="M107" s="408" t="s">
        <v>37</v>
      </c>
      <c r="N107" s="595" t="str">
        <f t="shared" si="127"/>
        <v>No</v>
      </c>
      <c r="O107" s="596">
        <v>82808</v>
      </c>
      <c r="P107" s="596">
        <v>309330</v>
      </c>
      <c r="Q107" s="597">
        <v>0.28901193601829622</v>
      </c>
      <c r="R107" s="596">
        <f t="shared" si="174"/>
        <v>89400.062168539574</v>
      </c>
      <c r="S107" s="596">
        <f t="shared" si="175"/>
        <v>172208.06216853956</v>
      </c>
      <c r="T107" s="596">
        <f t="shared" si="128"/>
        <v>172208.06216853956</v>
      </c>
      <c r="U107" s="598">
        <f t="shared" si="176"/>
        <v>4.0288475368063639E-2</v>
      </c>
      <c r="V107" s="599">
        <f t="shared" si="185"/>
        <v>0</v>
      </c>
      <c r="W107" s="600">
        <v>57344332.363339968</v>
      </c>
      <c r="X107" s="600">
        <v>0</v>
      </c>
      <c r="Y107" s="600">
        <v>78776379.677430063</v>
      </c>
      <c r="Z107" s="600">
        <f t="shared" si="177"/>
        <v>0</v>
      </c>
      <c r="AA107" s="600">
        <f t="shared" si="178"/>
        <v>57344332.363339968</v>
      </c>
      <c r="AB107" s="601">
        <f t="shared" si="129"/>
        <v>0</v>
      </c>
      <c r="AC107" s="599">
        <v>0</v>
      </c>
      <c r="AD107" s="599">
        <f>MAX(IF(M107="Yes",'Assumption Inputs'!$C$40,'Assumption Inputs'!$C$41),AC107)</f>
        <v>8000000</v>
      </c>
      <c r="AE107" s="599">
        <f t="shared" si="186"/>
        <v>8000000</v>
      </c>
      <c r="AF107" s="599">
        <f t="shared" si="130"/>
        <v>0</v>
      </c>
      <c r="AG107" s="599">
        <f t="shared" si="187"/>
        <v>0</v>
      </c>
      <c r="AH107" s="599">
        <f t="shared" si="188"/>
        <v>8000000</v>
      </c>
      <c r="AI107" s="599">
        <v>534101386.95680439</v>
      </c>
      <c r="AJ107" s="599">
        <v>484757054.59346449</v>
      </c>
      <c r="AK107" s="602">
        <f t="shared" si="179"/>
        <v>0.9076124242168826</v>
      </c>
      <c r="AL107" s="603">
        <f t="shared" si="131"/>
        <v>0</v>
      </c>
      <c r="AM107" s="600">
        <f t="shared" si="180"/>
        <v>8000000</v>
      </c>
      <c r="AN107" s="600">
        <f t="shared" si="132"/>
        <v>8000000</v>
      </c>
      <c r="AO107" s="600">
        <f t="shared" si="133"/>
        <v>0</v>
      </c>
      <c r="AP107" s="600">
        <f t="shared" si="134"/>
        <v>49344332.363339968</v>
      </c>
      <c r="AQ107" s="600">
        <f t="shared" si="181"/>
        <v>0</v>
      </c>
      <c r="AR107" s="600">
        <f t="shared" si="182"/>
        <v>8000000</v>
      </c>
      <c r="AS107" s="604">
        <f t="shared" si="135"/>
        <v>0</v>
      </c>
      <c r="AT107" s="605">
        <f t="shared" si="136"/>
        <v>0</v>
      </c>
      <c r="AU107" s="600">
        <f t="shared" si="137"/>
        <v>8000000</v>
      </c>
      <c r="AV107" s="600">
        <f t="shared" si="138"/>
        <v>8000000</v>
      </c>
      <c r="AW107" s="600">
        <f t="shared" si="139"/>
        <v>0</v>
      </c>
      <c r="AX107" s="600">
        <f t="shared" si="140"/>
        <v>49344332.363339968</v>
      </c>
      <c r="AY107" s="600">
        <f t="shared" si="141"/>
        <v>9.7087401308610117E-11</v>
      </c>
      <c r="AZ107" s="600">
        <f t="shared" si="142"/>
        <v>8000000</v>
      </c>
      <c r="BA107" s="600">
        <f t="shared" si="143"/>
        <v>0</v>
      </c>
      <c r="BB107" s="600">
        <f t="shared" si="144"/>
        <v>0</v>
      </c>
      <c r="BC107" s="600">
        <f t="shared" si="145"/>
        <v>0</v>
      </c>
      <c r="BD107" s="600">
        <f t="shared" si="146"/>
        <v>0</v>
      </c>
      <c r="BE107" s="600">
        <f t="shared" si="147"/>
        <v>49344332.363339968</v>
      </c>
      <c r="BF107" s="600">
        <f t="shared" si="148"/>
        <v>8000000</v>
      </c>
      <c r="BG107" s="600">
        <v>0</v>
      </c>
      <c r="BH107" s="600">
        <v>0</v>
      </c>
      <c r="BI107" s="600">
        <f t="shared" si="149"/>
        <v>0</v>
      </c>
      <c r="BJ107" s="600">
        <f t="shared" si="150"/>
        <v>8000000</v>
      </c>
      <c r="BK107" s="600">
        <f t="shared" si="151"/>
        <v>2810399.9999999995</v>
      </c>
      <c r="BL107" s="600">
        <v>8000000</v>
      </c>
      <c r="BM107" s="600">
        <f t="shared" si="152"/>
        <v>0</v>
      </c>
      <c r="BN107" s="600">
        <f t="shared" si="153"/>
        <v>0</v>
      </c>
      <c r="BO107" s="600">
        <f t="shared" si="154"/>
        <v>0</v>
      </c>
      <c r="BP107" s="600">
        <f t="shared" si="155"/>
        <v>2810399.9999999995</v>
      </c>
      <c r="BQ107" s="600">
        <f t="shared" si="156"/>
        <v>0</v>
      </c>
      <c r="BR107" s="600">
        <f t="shared" si="157"/>
        <v>0</v>
      </c>
      <c r="BT107" s="606">
        <f t="shared" si="158"/>
        <v>1</v>
      </c>
      <c r="BU107" s="607">
        <f t="shared" si="159"/>
        <v>0</v>
      </c>
      <c r="BV107" s="606">
        <f t="shared" si="160"/>
        <v>1</v>
      </c>
      <c r="BW107" s="607">
        <f t="shared" si="161"/>
        <v>0</v>
      </c>
      <c r="BX107" s="607">
        <f t="shared" si="162"/>
        <v>0</v>
      </c>
      <c r="BY107" s="607">
        <f t="shared" si="163"/>
        <v>0</v>
      </c>
      <c r="BZ107" s="607">
        <f t="shared" si="164"/>
        <v>0</v>
      </c>
      <c r="CA107" s="607">
        <f t="shared" si="165"/>
        <v>0</v>
      </c>
      <c r="CB107" s="607">
        <f t="shared" si="183"/>
        <v>0</v>
      </c>
      <c r="CC107" s="607">
        <f t="shared" si="166"/>
        <v>0</v>
      </c>
      <c r="CD107" s="607">
        <f t="shared" si="167"/>
        <v>0</v>
      </c>
      <c r="CE107" s="607">
        <f t="shared" si="168"/>
        <v>0</v>
      </c>
      <c r="CF107" s="607">
        <f t="shared" si="169"/>
        <v>0</v>
      </c>
      <c r="CG107" s="607">
        <f t="shared" si="170"/>
        <v>0</v>
      </c>
      <c r="CH107" s="607">
        <f t="shared" si="171"/>
        <v>8000000</v>
      </c>
      <c r="CI107" s="609"/>
      <c r="CK107" s="610" t="str">
        <f t="shared" si="184"/>
        <v/>
      </c>
      <c r="CL107" s="611" t="str">
        <f>IF(CK107="","",COUNTIFS($CK$16:CK107,"Yes")+MAX(State!AD:AD))</f>
        <v/>
      </c>
      <c r="CM107" s="612" t="b">
        <f>IF(C107="", "", AND(INDEX('Summary Dynamic'!$D$8:$D$10, MATCH(H107, 'Summary Dynamic'!$C$8:$C$10, 0))="Include", INDEX('Summary Dynamic'!$D$12:$D$14, MATCH(I107, 'Summary Dynamic'!$C$12:$C$14, 0))="Include", INDEX('Summary Dynamic'!$D$16:$D$17, MATCH(J107, 'Summary Dynamic'!$C$16:$C$17, 0))="Include", INDEX('Summary Dynamic'!$D$19:$D$20, MATCH(K107, 'Summary Dynamic'!$C$19:$C$20, 0))="Include", INDEX('Summary Dynamic'!$D$25:$D$26, MATCH(L107, 'Summary Dynamic'!$C$25:$C$26, 0))="Include",'Summary Dynamic'!$D$23="Include"))</f>
        <v>1</v>
      </c>
      <c r="CN107" s="613">
        <f>IFERROR(IF(CM107=TRUE, COUNTIFS($CM$16:CM107, TRUE), ""), "")</f>
        <v>92</v>
      </c>
      <c r="CP107" s="614" t="str">
        <f t="shared" si="172"/>
        <v>Non-Rural Private</v>
      </c>
      <c r="CY107" s="615"/>
      <c r="CZ107" s="616"/>
    </row>
    <row r="108" spans="2:104" x14ac:dyDescent="0.25">
      <c r="B108" s="617">
        <f t="shared" si="173"/>
        <v>93</v>
      </c>
      <c r="C108" s="593" t="s">
        <v>781</v>
      </c>
      <c r="D108" s="594" t="s">
        <v>781</v>
      </c>
      <c r="E108" s="594" t="s">
        <v>782</v>
      </c>
      <c r="F108" s="407" t="s">
        <v>783</v>
      </c>
      <c r="G108" s="408" t="s">
        <v>669</v>
      </c>
      <c r="H108" s="408" t="s">
        <v>22</v>
      </c>
      <c r="I108" s="408" t="s">
        <v>28</v>
      </c>
      <c r="J108" s="408" t="s">
        <v>35</v>
      </c>
      <c r="K108" s="408" t="s">
        <v>35</v>
      </c>
      <c r="L108" s="408" t="s">
        <v>35</v>
      </c>
      <c r="M108" s="408" t="s">
        <v>37</v>
      </c>
      <c r="N108" s="595" t="str">
        <f t="shared" si="127"/>
        <v>No</v>
      </c>
      <c r="O108" s="596">
        <v>28720.094149391422</v>
      </c>
      <c r="P108" s="596">
        <v>149454</v>
      </c>
      <c r="Q108" s="597">
        <v>0.33337986946347231</v>
      </c>
      <c r="R108" s="596">
        <f t="shared" si="174"/>
        <v>49824.95501079379</v>
      </c>
      <c r="S108" s="596">
        <f t="shared" si="175"/>
        <v>78545.049160185212</v>
      </c>
      <c r="T108" s="596">
        <f t="shared" si="128"/>
        <v>106137.92493015827</v>
      </c>
      <c r="U108" s="598">
        <f t="shared" si="176"/>
        <v>2.4831213593130314E-2</v>
      </c>
      <c r="V108" s="599">
        <f t="shared" si="185"/>
        <v>0</v>
      </c>
      <c r="W108" s="600">
        <v>116848035.51228662</v>
      </c>
      <c r="X108" s="600">
        <v>0</v>
      </c>
      <c r="Y108" s="600">
        <v>87457974.048548028</v>
      </c>
      <c r="Z108" s="600">
        <f t="shared" si="177"/>
        <v>0</v>
      </c>
      <c r="AA108" s="600">
        <f t="shared" si="178"/>
        <v>116848035.51228662</v>
      </c>
      <c r="AB108" s="601">
        <f t="shared" si="129"/>
        <v>0</v>
      </c>
      <c r="AC108" s="599">
        <v>22601713.287048921</v>
      </c>
      <c r="AD108" s="599">
        <f>MAX(IF(M108="Yes",'Assumption Inputs'!$C$40,'Assumption Inputs'!$C$41),AC108)</f>
        <v>22601713.287048921</v>
      </c>
      <c r="AE108" s="599">
        <f t="shared" si="186"/>
        <v>22601713.287048921</v>
      </c>
      <c r="AF108" s="599">
        <f t="shared" si="130"/>
        <v>12239836.407800654</v>
      </c>
      <c r="AG108" s="599">
        <f t="shared" si="187"/>
        <v>0</v>
      </c>
      <c r="AH108" s="599">
        <f t="shared" si="188"/>
        <v>34841549.694849573</v>
      </c>
      <c r="AI108" s="599">
        <v>243455542.47086042</v>
      </c>
      <c r="AJ108" s="599">
        <v>161449056.65342337</v>
      </c>
      <c r="AK108" s="602">
        <f t="shared" si="179"/>
        <v>0.66315621741389374</v>
      </c>
      <c r="AL108" s="603">
        <f t="shared" si="131"/>
        <v>0</v>
      </c>
      <c r="AM108" s="600">
        <f t="shared" si="180"/>
        <v>22601713.287048921</v>
      </c>
      <c r="AN108" s="600">
        <f t="shared" si="132"/>
        <v>22601713.287048921</v>
      </c>
      <c r="AO108" s="600">
        <f t="shared" si="133"/>
        <v>0</v>
      </c>
      <c r="AP108" s="600">
        <f t="shared" si="134"/>
        <v>94246322.225237697</v>
      </c>
      <c r="AQ108" s="600">
        <f t="shared" si="181"/>
        <v>0</v>
      </c>
      <c r="AR108" s="600">
        <f t="shared" si="182"/>
        <v>22601713.287048921</v>
      </c>
      <c r="AS108" s="604">
        <f t="shared" si="135"/>
        <v>12239836.407800654</v>
      </c>
      <c r="AT108" s="605">
        <f t="shared" si="136"/>
        <v>0</v>
      </c>
      <c r="AU108" s="600">
        <f t="shared" si="137"/>
        <v>34841549.694849573</v>
      </c>
      <c r="AV108" s="600">
        <f t="shared" si="138"/>
        <v>34841549.694849573</v>
      </c>
      <c r="AW108" s="600">
        <f t="shared" si="139"/>
        <v>0</v>
      </c>
      <c r="AX108" s="600">
        <f t="shared" si="140"/>
        <v>82006485.817437053</v>
      </c>
      <c r="AY108" s="600">
        <f t="shared" si="141"/>
        <v>1.6135179497091576E-10</v>
      </c>
      <c r="AZ108" s="600">
        <f t="shared" si="142"/>
        <v>34841549.694849573</v>
      </c>
      <c r="BA108" s="600">
        <f t="shared" si="143"/>
        <v>0</v>
      </c>
      <c r="BB108" s="600">
        <f t="shared" si="144"/>
        <v>5.6682885573282696E-11</v>
      </c>
      <c r="BC108" s="600">
        <f t="shared" si="145"/>
        <v>0</v>
      </c>
      <c r="BD108" s="600">
        <f t="shared" si="146"/>
        <v>12239836.407800654</v>
      </c>
      <c r="BE108" s="600">
        <f t="shared" si="147"/>
        <v>82006485.817437053</v>
      </c>
      <c r="BF108" s="600">
        <f t="shared" si="148"/>
        <v>22601713.287048921</v>
      </c>
      <c r="BG108" s="600">
        <v>0</v>
      </c>
      <c r="BH108" s="600">
        <v>0</v>
      </c>
      <c r="BI108" s="600">
        <f t="shared" si="149"/>
        <v>0</v>
      </c>
      <c r="BJ108" s="600">
        <f t="shared" si="150"/>
        <v>34841549.689999998</v>
      </c>
      <c r="BK108" s="600">
        <f t="shared" si="151"/>
        <v>12239836.406096997</v>
      </c>
      <c r="BL108" s="600">
        <v>34841549.689999998</v>
      </c>
      <c r="BM108" s="600">
        <f t="shared" si="152"/>
        <v>0</v>
      </c>
      <c r="BN108" s="600">
        <f t="shared" si="153"/>
        <v>0</v>
      </c>
      <c r="BO108" s="600">
        <f t="shared" si="154"/>
        <v>12239836.41</v>
      </c>
      <c r="BP108" s="600">
        <f t="shared" si="155"/>
        <v>12239836.406096997</v>
      </c>
      <c r="BQ108" s="600">
        <f t="shared" si="156"/>
        <v>0</v>
      </c>
      <c r="BR108" s="600">
        <f t="shared" si="157"/>
        <v>12239836.41</v>
      </c>
      <c r="BT108" s="606">
        <f t="shared" si="158"/>
        <v>1</v>
      </c>
      <c r="BU108" s="607">
        <f t="shared" si="159"/>
        <v>0</v>
      </c>
      <c r="BV108" s="606">
        <f t="shared" si="160"/>
        <v>1</v>
      </c>
      <c r="BW108" s="607">
        <f t="shared" si="161"/>
        <v>0</v>
      </c>
      <c r="BX108" s="607">
        <f t="shared" si="162"/>
        <v>0</v>
      </c>
      <c r="BY108" s="607">
        <f t="shared" si="163"/>
        <v>0</v>
      </c>
      <c r="BZ108" s="607">
        <f t="shared" si="164"/>
        <v>0</v>
      </c>
      <c r="CA108" s="607">
        <f t="shared" si="165"/>
        <v>0</v>
      </c>
      <c r="CB108" s="607">
        <f t="shared" si="183"/>
        <v>0</v>
      </c>
      <c r="CC108" s="607">
        <f t="shared" si="166"/>
        <v>0</v>
      </c>
      <c r="CD108" s="607">
        <f t="shared" si="167"/>
        <v>0</v>
      </c>
      <c r="CE108" s="607">
        <f t="shared" si="168"/>
        <v>0</v>
      </c>
      <c r="CF108" s="607">
        <f t="shared" si="169"/>
        <v>0</v>
      </c>
      <c r="CG108" s="607">
        <f t="shared" si="170"/>
        <v>0</v>
      </c>
      <c r="CH108" s="607">
        <f t="shared" si="171"/>
        <v>34841549.689999998</v>
      </c>
      <c r="CI108" s="609"/>
      <c r="CK108" s="610" t="str">
        <f t="shared" si="184"/>
        <v/>
      </c>
      <c r="CL108" s="611" t="str">
        <f>IF(CK108="","",COUNTIFS($CK$16:CK108,"Yes")+MAX(State!AD:AD))</f>
        <v/>
      </c>
      <c r="CM108" s="612" t="b">
        <f>IF(C108="", "", AND(INDEX('Summary Dynamic'!$D$8:$D$10, MATCH(H108, 'Summary Dynamic'!$C$8:$C$10, 0))="Include", INDEX('Summary Dynamic'!$D$12:$D$14, MATCH(I108, 'Summary Dynamic'!$C$12:$C$14, 0))="Include", INDEX('Summary Dynamic'!$D$16:$D$17, MATCH(J108, 'Summary Dynamic'!$C$16:$C$17, 0))="Include", INDEX('Summary Dynamic'!$D$19:$D$20, MATCH(K108, 'Summary Dynamic'!$C$19:$C$20, 0))="Include", INDEX('Summary Dynamic'!$D$25:$D$26, MATCH(L108, 'Summary Dynamic'!$C$25:$C$26, 0))="Include",'Summary Dynamic'!$D$23="Include"))</f>
        <v>1</v>
      </c>
      <c r="CN108" s="613">
        <f>IFERROR(IF(CM108=TRUE, COUNTIFS($CM$16:CM108, TRUE), ""), "")</f>
        <v>93</v>
      </c>
      <c r="CP108" s="614" t="str">
        <f t="shared" si="172"/>
        <v>Non-Rural Public</v>
      </c>
      <c r="CY108" s="615"/>
      <c r="CZ108" s="616"/>
    </row>
    <row r="109" spans="2:104" x14ac:dyDescent="0.25">
      <c r="B109" s="617">
        <f t="shared" si="173"/>
        <v>94</v>
      </c>
      <c r="C109" s="593" t="s">
        <v>784</v>
      </c>
      <c r="D109" s="594" t="s">
        <v>784</v>
      </c>
      <c r="E109" s="594" t="s">
        <v>785</v>
      </c>
      <c r="F109" s="407" t="s">
        <v>786</v>
      </c>
      <c r="G109" s="408" t="s">
        <v>532</v>
      </c>
      <c r="H109" s="408" t="s">
        <v>22</v>
      </c>
      <c r="I109" s="408" t="s">
        <v>26</v>
      </c>
      <c r="J109" s="408" t="s">
        <v>35</v>
      </c>
      <c r="K109" s="408" t="s">
        <v>35</v>
      </c>
      <c r="L109" s="408" t="s">
        <v>35</v>
      </c>
      <c r="M109" s="408" t="s">
        <v>35</v>
      </c>
      <c r="N109" s="595" t="str">
        <f t="shared" si="127"/>
        <v>No</v>
      </c>
      <c r="O109" s="596">
        <v>11794</v>
      </c>
      <c r="P109" s="596">
        <v>80271</v>
      </c>
      <c r="Q109" s="597">
        <v>0.18690584386662634</v>
      </c>
      <c r="R109" s="596">
        <f t="shared" si="174"/>
        <v>15003.118993017963</v>
      </c>
      <c r="S109" s="596">
        <f t="shared" si="175"/>
        <v>26797.118993017961</v>
      </c>
      <c r="T109" s="596">
        <f t="shared" si="128"/>
        <v>26797.118993017961</v>
      </c>
      <c r="U109" s="598">
        <f t="shared" si="176"/>
        <v>6.2692481112101373E-3</v>
      </c>
      <c r="V109" s="599">
        <f t="shared" si="185"/>
        <v>0</v>
      </c>
      <c r="W109" s="600">
        <v>30399528.815813329</v>
      </c>
      <c r="X109" s="600">
        <v>0</v>
      </c>
      <c r="Y109" s="600">
        <v>25254190.641789109</v>
      </c>
      <c r="Z109" s="600">
        <f t="shared" si="177"/>
        <v>0</v>
      </c>
      <c r="AA109" s="600">
        <f t="shared" si="178"/>
        <v>30399528.815813329</v>
      </c>
      <c r="AB109" s="601">
        <f t="shared" si="129"/>
        <v>0</v>
      </c>
      <c r="AC109" s="599">
        <v>0</v>
      </c>
      <c r="AD109" s="599">
        <f>MAX(IF(M109="Yes",'Assumption Inputs'!$C$40,'Assumption Inputs'!$C$41),AC109)</f>
        <v>6000000</v>
      </c>
      <c r="AE109" s="599">
        <f t="shared" si="186"/>
        <v>6000000</v>
      </c>
      <c r="AF109" s="599">
        <f t="shared" si="130"/>
        <v>0</v>
      </c>
      <c r="AG109" s="599">
        <f t="shared" si="187"/>
        <v>0</v>
      </c>
      <c r="AH109" s="599">
        <f t="shared" si="188"/>
        <v>6000000</v>
      </c>
      <c r="AI109" s="599">
        <v>80522765.241688654</v>
      </c>
      <c r="AJ109" s="599">
        <v>56123236.425875328</v>
      </c>
      <c r="AK109" s="602">
        <f t="shared" si="179"/>
        <v>0.69698595493363558</v>
      </c>
      <c r="AL109" s="603">
        <f t="shared" si="131"/>
        <v>0</v>
      </c>
      <c r="AM109" s="600">
        <f t="shared" si="180"/>
        <v>6000000</v>
      </c>
      <c r="AN109" s="600">
        <f t="shared" si="132"/>
        <v>6000000</v>
      </c>
      <c r="AO109" s="600">
        <f t="shared" si="133"/>
        <v>0</v>
      </c>
      <c r="AP109" s="600">
        <f t="shared" si="134"/>
        <v>24399528.815813329</v>
      </c>
      <c r="AQ109" s="600">
        <f t="shared" si="181"/>
        <v>0</v>
      </c>
      <c r="AR109" s="600">
        <f t="shared" si="182"/>
        <v>6000000</v>
      </c>
      <c r="AS109" s="604">
        <f t="shared" si="135"/>
        <v>0</v>
      </c>
      <c r="AT109" s="605">
        <f t="shared" si="136"/>
        <v>0</v>
      </c>
      <c r="AU109" s="600">
        <f t="shared" si="137"/>
        <v>6000000</v>
      </c>
      <c r="AV109" s="600">
        <f t="shared" si="138"/>
        <v>6000000</v>
      </c>
      <c r="AW109" s="600">
        <f t="shared" si="139"/>
        <v>0</v>
      </c>
      <c r="AX109" s="600">
        <f t="shared" si="140"/>
        <v>24399528.815813329</v>
      </c>
      <c r="AY109" s="600">
        <f t="shared" si="141"/>
        <v>4.8007273225198468E-11</v>
      </c>
      <c r="AZ109" s="600">
        <f t="shared" si="142"/>
        <v>6000000</v>
      </c>
      <c r="BA109" s="600">
        <f t="shared" si="143"/>
        <v>0</v>
      </c>
      <c r="BB109" s="600">
        <f t="shared" si="144"/>
        <v>0</v>
      </c>
      <c r="BC109" s="600">
        <f t="shared" si="145"/>
        <v>0</v>
      </c>
      <c r="BD109" s="600">
        <f t="shared" si="146"/>
        <v>0</v>
      </c>
      <c r="BE109" s="600">
        <f t="shared" si="147"/>
        <v>24399528.815813329</v>
      </c>
      <c r="BF109" s="600">
        <f t="shared" si="148"/>
        <v>6000000</v>
      </c>
      <c r="BG109" s="600">
        <v>0</v>
      </c>
      <c r="BH109" s="600">
        <v>0</v>
      </c>
      <c r="BI109" s="600">
        <f t="shared" si="149"/>
        <v>0</v>
      </c>
      <c r="BJ109" s="600">
        <f t="shared" si="150"/>
        <v>6000000</v>
      </c>
      <c r="BK109" s="600">
        <f t="shared" si="151"/>
        <v>2107799.9999999995</v>
      </c>
      <c r="BL109" s="600">
        <v>6000000</v>
      </c>
      <c r="BM109" s="600">
        <f t="shared" si="152"/>
        <v>0</v>
      </c>
      <c r="BN109" s="600">
        <f t="shared" si="153"/>
        <v>0</v>
      </c>
      <c r="BO109" s="600">
        <f t="shared" si="154"/>
        <v>0</v>
      </c>
      <c r="BP109" s="600">
        <f t="shared" si="155"/>
        <v>2107799.9999999995</v>
      </c>
      <c r="BQ109" s="600">
        <f t="shared" si="156"/>
        <v>0</v>
      </c>
      <c r="BR109" s="600">
        <f t="shared" si="157"/>
        <v>0</v>
      </c>
      <c r="BT109" s="606">
        <f t="shared" si="158"/>
        <v>1</v>
      </c>
      <c r="BU109" s="607">
        <f t="shared" si="159"/>
        <v>0</v>
      </c>
      <c r="BV109" s="606">
        <f t="shared" si="160"/>
        <v>1</v>
      </c>
      <c r="BW109" s="607">
        <f t="shared" si="161"/>
        <v>0</v>
      </c>
      <c r="BX109" s="607">
        <f t="shared" si="162"/>
        <v>0</v>
      </c>
      <c r="BY109" s="607">
        <f t="shared" si="163"/>
        <v>0</v>
      </c>
      <c r="BZ109" s="607">
        <f t="shared" si="164"/>
        <v>0</v>
      </c>
      <c r="CA109" s="607">
        <f t="shared" si="165"/>
        <v>0</v>
      </c>
      <c r="CB109" s="607">
        <f t="shared" si="183"/>
        <v>0</v>
      </c>
      <c r="CC109" s="607">
        <f t="shared" si="166"/>
        <v>0</v>
      </c>
      <c r="CD109" s="607">
        <f t="shared" si="167"/>
        <v>0</v>
      </c>
      <c r="CE109" s="607">
        <f t="shared" si="168"/>
        <v>0</v>
      </c>
      <c r="CF109" s="607">
        <f t="shared" si="169"/>
        <v>0</v>
      </c>
      <c r="CG109" s="607">
        <f t="shared" si="170"/>
        <v>0</v>
      </c>
      <c r="CH109" s="607">
        <f t="shared" si="171"/>
        <v>6000000</v>
      </c>
      <c r="CI109" s="609"/>
      <c r="CK109" s="610" t="str">
        <f t="shared" si="184"/>
        <v/>
      </c>
      <c r="CL109" s="611" t="str">
        <f>IF(CK109="","",COUNTIFS($CK$16:CK109,"Yes")+MAX(State!AD:AD))</f>
        <v/>
      </c>
      <c r="CM109" s="612" t="b">
        <f>IF(C109="", "", AND(INDEX('Summary Dynamic'!$D$8:$D$10, MATCH(H109, 'Summary Dynamic'!$C$8:$C$10, 0))="Include", INDEX('Summary Dynamic'!$D$12:$D$14, MATCH(I109, 'Summary Dynamic'!$C$12:$C$14, 0))="Include", INDEX('Summary Dynamic'!$D$16:$D$17, MATCH(J109, 'Summary Dynamic'!$C$16:$C$17, 0))="Include", INDEX('Summary Dynamic'!$D$19:$D$20, MATCH(K109, 'Summary Dynamic'!$C$19:$C$20, 0))="Include", INDEX('Summary Dynamic'!$D$25:$D$26, MATCH(L109, 'Summary Dynamic'!$C$25:$C$26, 0))="Include",'Summary Dynamic'!$D$23="Include"))</f>
        <v>1</v>
      </c>
      <c r="CN109" s="613">
        <f>IFERROR(IF(CM109=TRUE, COUNTIFS($CM$16:CM109, TRUE), ""), "")</f>
        <v>94</v>
      </c>
      <c r="CP109" s="614" t="str">
        <f t="shared" si="172"/>
        <v>Non-Rural Private</v>
      </c>
      <c r="CY109" s="615"/>
      <c r="CZ109" s="616"/>
    </row>
    <row r="110" spans="2:104" x14ac:dyDescent="0.25">
      <c r="B110" s="617">
        <f t="shared" si="173"/>
        <v>95</v>
      </c>
      <c r="C110" s="405" t="s">
        <v>787</v>
      </c>
      <c r="D110" s="406" t="s">
        <v>787</v>
      </c>
      <c r="E110" s="406" t="s">
        <v>788</v>
      </c>
      <c r="F110" s="407" t="s">
        <v>789</v>
      </c>
      <c r="G110" s="408" t="s">
        <v>790</v>
      </c>
      <c r="H110" s="408" t="s">
        <v>22</v>
      </c>
      <c r="I110" s="408" t="s">
        <v>28</v>
      </c>
      <c r="J110" s="408" t="s">
        <v>31</v>
      </c>
      <c r="K110" s="408" t="s">
        <v>35</v>
      </c>
      <c r="L110" s="408" t="s">
        <v>35</v>
      </c>
      <c r="M110" s="408" t="s">
        <v>35</v>
      </c>
      <c r="N110" s="595" t="str">
        <f t="shared" si="127"/>
        <v>Yes</v>
      </c>
      <c r="O110" s="596">
        <v>120</v>
      </c>
      <c r="P110" s="596">
        <v>936</v>
      </c>
      <c r="Q110" s="597">
        <v>5.1283527549340027E-2</v>
      </c>
      <c r="R110" s="596">
        <f t="shared" si="174"/>
        <v>48.001381786182264</v>
      </c>
      <c r="S110" s="596">
        <f t="shared" si="175"/>
        <v>168.00138178618226</v>
      </c>
      <c r="T110" s="596">
        <f t="shared" si="128"/>
        <v>227.0202672076681</v>
      </c>
      <c r="U110" s="598">
        <f t="shared" si="176"/>
        <v>5.3111917806123982E-5</v>
      </c>
      <c r="V110" s="599">
        <f t="shared" si="185"/>
        <v>0</v>
      </c>
      <c r="W110" s="600">
        <v>868199.9349799382</v>
      </c>
      <c r="X110" s="600">
        <v>0</v>
      </c>
      <c r="Y110" s="600">
        <v>85534.061730628891</v>
      </c>
      <c r="Z110" s="600">
        <f t="shared" si="177"/>
        <v>0</v>
      </c>
      <c r="AA110" s="600">
        <f t="shared" si="178"/>
        <v>868199.9349799382</v>
      </c>
      <c r="AB110" s="601">
        <f t="shared" si="129"/>
        <v>0</v>
      </c>
      <c r="AC110" s="599">
        <v>372950.4904931091</v>
      </c>
      <c r="AD110" s="599">
        <f>MAX(IF(M110="Yes",'Assumption Inputs'!$C$40,'Assumption Inputs'!$C$41),AC110)</f>
        <v>6000000</v>
      </c>
      <c r="AE110" s="599">
        <f t="shared" si="186"/>
        <v>563201.29782148602</v>
      </c>
      <c r="AF110" s="599">
        <f t="shared" si="130"/>
        <v>304998.6371584523</v>
      </c>
      <c r="AG110" s="599">
        <f t="shared" si="187"/>
        <v>0</v>
      </c>
      <c r="AH110" s="599">
        <f t="shared" si="188"/>
        <v>868199.93497993832</v>
      </c>
      <c r="AI110" s="599">
        <v>1541230.1523592237</v>
      </c>
      <c r="AJ110" s="599">
        <v>1541230.1523592239</v>
      </c>
      <c r="AK110" s="602">
        <f t="shared" si="179"/>
        <v>1.0000000000000002</v>
      </c>
      <c r="AL110" s="603">
        <f t="shared" si="131"/>
        <v>0</v>
      </c>
      <c r="AM110" s="600">
        <f t="shared" si="180"/>
        <v>563201.29782148602</v>
      </c>
      <c r="AN110" s="600">
        <f t="shared" si="132"/>
        <v>563201.29782148602</v>
      </c>
      <c r="AO110" s="600">
        <f t="shared" si="133"/>
        <v>0</v>
      </c>
      <c r="AP110" s="600">
        <f t="shared" si="134"/>
        <v>304998.63715845218</v>
      </c>
      <c r="AQ110" s="600">
        <f t="shared" si="181"/>
        <v>0</v>
      </c>
      <c r="AR110" s="600">
        <f t="shared" si="182"/>
        <v>563201.29782148602</v>
      </c>
      <c r="AS110" s="604">
        <f t="shared" si="135"/>
        <v>304998.6371584523</v>
      </c>
      <c r="AT110" s="605">
        <f t="shared" si="136"/>
        <v>0</v>
      </c>
      <c r="AU110" s="600">
        <f t="shared" si="137"/>
        <v>868199.93497993832</v>
      </c>
      <c r="AV110" s="600">
        <f t="shared" si="138"/>
        <v>868199.9349799382</v>
      </c>
      <c r="AW110" s="600">
        <f t="shared" si="139"/>
        <v>1.1641532182693481E-10</v>
      </c>
      <c r="AX110" s="600">
        <f t="shared" si="140"/>
        <v>0</v>
      </c>
      <c r="AY110" s="600">
        <f t="shared" si="141"/>
        <v>0</v>
      </c>
      <c r="AZ110" s="600">
        <f t="shared" si="142"/>
        <v>868199.9349799382</v>
      </c>
      <c r="BA110" s="600">
        <f t="shared" si="143"/>
        <v>-4.0896702557802194E-11</v>
      </c>
      <c r="BB110" s="600">
        <f t="shared" si="144"/>
        <v>0</v>
      </c>
      <c r="BC110" s="600">
        <f t="shared" si="145"/>
        <v>0</v>
      </c>
      <c r="BD110" s="600">
        <f t="shared" si="146"/>
        <v>304998.63715845224</v>
      </c>
      <c r="BE110" s="600">
        <f t="shared" si="147"/>
        <v>0</v>
      </c>
      <c r="BF110" s="600">
        <f t="shared" si="148"/>
        <v>563201.2978214859</v>
      </c>
      <c r="BG110" s="600">
        <v>0</v>
      </c>
      <c r="BH110" s="600">
        <v>0</v>
      </c>
      <c r="BI110" s="600">
        <f t="shared" si="149"/>
        <v>0</v>
      </c>
      <c r="BJ110" s="600">
        <f t="shared" si="150"/>
        <v>868199.93</v>
      </c>
      <c r="BK110" s="600">
        <f t="shared" si="151"/>
        <v>304998.63540899998</v>
      </c>
      <c r="BL110" s="600">
        <v>868199.93</v>
      </c>
      <c r="BM110" s="600">
        <f t="shared" si="152"/>
        <v>0</v>
      </c>
      <c r="BN110" s="600">
        <f t="shared" si="153"/>
        <v>0</v>
      </c>
      <c r="BO110" s="600">
        <f t="shared" si="154"/>
        <v>304998.64</v>
      </c>
      <c r="BP110" s="600">
        <f t="shared" si="155"/>
        <v>304998.63540899998</v>
      </c>
      <c r="BQ110" s="600">
        <f t="shared" si="156"/>
        <v>0</v>
      </c>
      <c r="BR110" s="600">
        <f t="shared" si="157"/>
        <v>304998.64</v>
      </c>
      <c r="BT110" s="606">
        <f t="shared" si="158"/>
        <v>1.563316211190789</v>
      </c>
      <c r="BU110" s="607">
        <f t="shared" si="159"/>
        <v>0</v>
      </c>
      <c r="BV110" s="606">
        <f t="shared" si="160"/>
        <v>1</v>
      </c>
      <c r="BW110" s="607">
        <f t="shared" si="161"/>
        <v>0</v>
      </c>
      <c r="BX110" s="607">
        <f t="shared" si="162"/>
        <v>0</v>
      </c>
      <c r="BY110" s="607">
        <f t="shared" si="163"/>
        <v>0</v>
      </c>
      <c r="BZ110" s="607">
        <f t="shared" si="164"/>
        <v>0</v>
      </c>
      <c r="CA110" s="607">
        <f t="shared" si="165"/>
        <v>0</v>
      </c>
      <c r="CB110" s="607">
        <f t="shared" si="183"/>
        <v>0</v>
      </c>
      <c r="CC110" s="607">
        <f t="shared" si="166"/>
        <v>0</v>
      </c>
      <c r="CD110" s="607">
        <f t="shared" si="167"/>
        <v>0</v>
      </c>
      <c r="CE110" s="607">
        <f t="shared" si="168"/>
        <v>0</v>
      </c>
      <c r="CF110" s="607">
        <f t="shared" si="169"/>
        <v>0</v>
      </c>
      <c r="CG110" s="607">
        <f t="shared" si="170"/>
        <v>0</v>
      </c>
      <c r="CH110" s="607">
        <f t="shared" si="171"/>
        <v>868199.93</v>
      </c>
      <c r="CI110" s="609"/>
      <c r="CK110" s="610" t="str">
        <f t="shared" si="184"/>
        <v/>
      </c>
      <c r="CL110" s="611" t="str">
        <f>IF(CK110="","",COUNTIFS($CK$16:CK110,"Yes")+MAX(State!AD:AD))</f>
        <v/>
      </c>
      <c r="CM110" s="612" t="b">
        <f>IF(C110="", "", AND(INDEX('Summary Dynamic'!$D$8:$D$10, MATCH(H110, 'Summary Dynamic'!$C$8:$C$10, 0))="Include", INDEX('Summary Dynamic'!$D$12:$D$14, MATCH(I110, 'Summary Dynamic'!$C$12:$C$14, 0))="Include", INDEX('Summary Dynamic'!$D$16:$D$17, MATCH(J110, 'Summary Dynamic'!$C$16:$C$17, 0))="Include", INDEX('Summary Dynamic'!$D$19:$D$20, MATCH(K110, 'Summary Dynamic'!$C$19:$C$20, 0))="Include", INDEX('Summary Dynamic'!$D$25:$D$26, MATCH(L110, 'Summary Dynamic'!$C$25:$C$26, 0))="Include",'Summary Dynamic'!$D$23="Include"))</f>
        <v>1</v>
      </c>
      <c r="CN110" s="613">
        <f>IFERROR(IF(CM110=TRUE, COUNTIFS($CM$16:CM110, TRUE), ""), "")</f>
        <v>95</v>
      </c>
      <c r="CP110" s="614" t="str">
        <f t="shared" si="172"/>
        <v>Rural Public</v>
      </c>
      <c r="CY110" s="615"/>
      <c r="CZ110" s="616"/>
    </row>
    <row r="111" spans="2:104" x14ac:dyDescent="0.25">
      <c r="B111" s="617">
        <f t="shared" si="173"/>
        <v>96</v>
      </c>
      <c r="C111" s="593" t="s">
        <v>791</v>
      </c>
      <c r="D111" s="594" t="s">
        <v>791</v>
      </c>
      <c r="E111" s="594" t="s">
        <v>792</v>
      </c>
      <c r="F111" s="407" t="s">
        <v>793</v>
      </c>
      <c r="G111" s="408" t="s">
        <v>794</v>
      </c>
      <c r="H111" s="408" t="s">
        <v>22</v>
      </c>
      <c r="I111" s="408" t="s">
        <v>26</v>
      </c>
      <c r="J111" s="408" t="s">
        <v>35</v>
      </c>
      <c r="K111" s="408" t="s">
        <v>35</v>
      </c>
      <c r="L111" s="408" t="s">
        <v>35</v>
      </c>
      <c r="M111" s="408" t="s">
        <v>35</v>
      </c>
      <c r="N111" s="595" t="str">
        <f t="shared" si="127"/>
        <v>No</v>
      </c>
      <c r="O111" s="596">
        <v>13828</v>
      </c>
      <c r="P111" s="596">
        <v>116333</v>
      </c>
      <c r="Q111" s="597">
        <v>0.11224021621914332</v>
      </c>
      <c r="R111" s="596">
        <f t="shared" si="174"/>
        <v>13057.241073421599</v>
      </c>
      <c r="S111" s="596">
        <f t="shared" si="175"/>
        <v>26885.241073421599</v>
      </c>
      <c r="T111" s="596">
        <f t="shared" si="128"/>
        <v>26885.241073421599</v>
      </c>
      <c r="U111" s="598">
        <f t="shared" si="176"/>
        <v>6.2898644762108061E-3</v>
      </c>
      <c r="V111" s="599">
        <f t="shared" si="185"/>
        <v>0</v>
      </c>
      <c r="W111" s="600">
        <v>54700382.286525987</v>
      </c>
      <c r="X111" s="600">
        <v>0</v>
      </c>
      <c r="Y111" s="600">
        <v>23003426.881441057</v>
      </c>
      <c r="Z111" s="600">
        <f t="shared" si="177"/>
        <v>0</v>
      </c>
      <c r="AA111" s="600">
        <f t="shared" si="178"/>
        <v>54700382.286525987</v>
      </c>
      <c r="AB111" s="601">
        <f t="shared" si="129"/>
        <v>0</v>
      </c>
      <c r="AC111" s="599">
        <v>6098953.9673586544</v>
      </c>
      <c r="AD111" s="599">
        <f>MAX(IF(M111="Yes",'Assumption Inputs'!$C$40,'Assumption Inputs'!$C$41),AC111)</f>
        <v>6098953.9673586544</v>
      </c>
      <c r="AE111" s="599">
        <f t="shared" si="186"/>
        <v>6098953.9673586544</v>
      </c>
      <c r="AF111" s="599">
        <f t="shared" si="130"/>
        <v>0</v>
      </c>
      <c r="AG111" s="599">
        <f t="shared" si="187"/>
        <v>0</v>
      </c>
      <c r="AH111" s="599">
        <f t="shared" si="188"/>
        <v>6098953.9673586544</v>
      </c>
      <c r="AI111" s="599">
        <v>109893946.56499308</v>
      </c>
      <c r="AJ111" s="599">
        <v>61292518.24582576</v>
      </c>
      <c r="AK111" s="602">
        <f t="shared" si="179"/>
        <v>0.5577424431615654</v>
      </c>
      <c r="AL111" s="603">
        <f t="shared" si="131"/>
        <v>6178675.9142510965</v>
      </c>
      <c r="AM111" s="600">
        <f t="shared" si="180"/>
        <v>12277629.881609751</v>
      </c>
      <c r="AN111" s="600">
        <f t="shared" si="132"/>
        <v>12277629.881609751</v>
      </c>
      <c r="AO111" s="600">
        <f t="shared" si="133"/>
        <v>0</v>
      </c>
      <c r="AP111" s="600">
        <f t="shared" si="134"/>
        <v>42422752.404916234</v>
      </c>
      <c r="AQ111" s="600">
        <f t="shared" si="181"/>
        <v>0</v>
      </c>
      <c r="AR111" s="600">
        <f t="shared" si="182"/>
        <v>12277629.881609751</v>
      </c>
      <c r="AS111" s="604">
        <f t="shared" si="135"/>
        <v>0</v>
      </c>
      <c r="AT111" s="605">
        <f t="shared" si="136"/>
        <v>0</v>
      </c>
      <c r="AU111" s="600">
        <f t="shared" si="137"/>
        <v>12277629.881609751</v>
      </c>
      <c r="AV111" s="600">
        <f t="shared" si="138"/>
        <v>12277629.881609751</v>
      </c>
      <c r="AW111" s="600">
        <f t="shared" si="139"/>
        <v>0</v>
      </c>
      <c r="AX111" s="600">
        <f t="shared" si="140"/>
        <v>42422752.404916234</v>
      </c>
      <c r="AY111" s="600">
        <f t="shared" si="141"/>
        <v>8.3468852248812225E-11</v>
      </c>
      <c r="AZ111" s="600">
        <f t="shared" si="142"/>
        <v>12277629.881609751</v>
      </c>
      <c r="BA111" s="600">
        <f t="shared" si="143"/>
        <v>0</v>
      </c>
      <c r="BB111" s="600">
        <f t="shared" si="144"/>
        <v>0</v>
      </c>
      <c r="BC111" s="600">
        <f t="shared" si="145"/>
        <v>0</v>
      </c>
      <c r="BD111" s="600">
        <f t="shared" si="146"/>
        <v>0</v>
      </c>
      <c r="BE111" s="600">
        <f t="shared" si="147"/>
        <v>42422752.404916234</v>
      </c>
      <c r="BF111" s="600">
        <f t="shared" si="148"/>
        <v>12277629.881609751</v>
      </c>
      <c r="BG111" s="600">
        <v>0</v>
      </c>
      <c r="BH111" s="600">
        <v>0</v>
      </c>
      <c r="BI111" s="600">
        <f t="shared" si="149"/>
        <v>0</v>
      </c>
      <c r="BJ111" s="600">
        <f t="shared" si="150"/>
        <v>12277629.880000001</v>
      </c>
      <c r="BK111" s="600">
        <f t="shared" si="151"/>
        <v>4313131.3768440001</v>
      </c>
      <c r="BL111" s="600">
        <v>12277629.880000001</v>
      </c>
      <c r="BM111" s="600">
        <f t="shared" si="152"/>
        <v>0</v>
      </c>
      <c r="BN111" s="600">
        <f t="shared" si="153"/>
        <v>0</v>
      </c>
      <c r="BO111" s="600">
        <f t="shared" si="154"/>
        <v>0</v>
      </c>
      <c r="BP111" s="600">
        <f t="shared" si="155"/>
        <v>4313131.3768440001</v>
      </c>
      <c r="BQ111" s="600">
        <f t="shared" si="156"/>
        <v>0</v>
      </c>
      <c r="BR111" s="600">
        <f t="shared" si="157"/>
        <v>0</v>
      </c>
      <c r="BT111" s="606">
        <f t="shared" si="158"/>
        <v>1</v>
      </c>
      <c r="BU111" s="607">
        <f t="shared" si="159"/>
        <v>0</v>
      </c>
      <c r="BV111" s="606">
        <f t="shared" si="160"/>
        <v>1</v>
      </c>
      <c r="BW111" s="607">
        <f t="shared" si="161"/>
        <v>0</v>
      </c>
      <c r="BX111" s="607">
        <f t="shared" si="162"/>
        <v>0</v>
      </c>
      <c r="BY111" s="607">
        <f t="shared" si="163"/>
        <v>0</v>
      </c>
      <c r="BZ111" s="607">
        <f t="shared" si="164"/>
        <v>0</v>
      </c>
      <c r="CA111" s="607">
        <f t="shared" si="165"/>
        <v>0</v>
      </c>
      <c r="CB111" s="607">
        <f t="shared" si="183"/>
        <v>0</v>
      </c>
      <c r="CC111" s="607">
        <f t="shared" si="166"/>
        <v>0</v>
      </c>
      <c r="CD111" s="607">
        <f t="shared" si="167"/>
        <v>0</v>
      </c>
      <c r="CE111" s="607">
        <f t="shared" si="168"/>
        <v>0</v>
      </c>
      <c r="CF111" s="607">
        <f t="shared" si="169"/>
        <v>0</v>
      </c>
      <c r="CG111" s="607">
        <f t="shared" si="170"/>
        <v>0</v>
      </c>
      <c r="CH111" s="607">
        <f t="shared" si="171"/>
        <v>12277629.880000001</v>
      </c>
      <c r="CI111" s="609"/>
      <c r="CK111" s="610" t="str">
        <f t="shared" si="184"/>
        <v/>
      </c>
      <c r="CL111" s="611" t="str">
        <f>IF(CK111="","",COUNTIFS($CK$16:CK111,"Yes")+MAX(State!AD:AD))</f>
        <v/>
      </c>
      <c r="CM111" s="612" t="b">
        <f>IF(C111="", "", AND(INDEX('Summary Dynamic'!$D$8:$D$10, MATCH(H111, 'Summary Dynamic'!$C$8:$C$10, 0))="Include", INDEX('Summary Dynamic'!$D$12:$D$14, MATCH(I111, 'Summary Dynamic'!$C$12:$C$14, 0))="Include", INDEX('Summary Dynamic'!$D$16:$D$17, MATCH(J111, 'Summary Dynamic'!$C$16:$C$17, 0))="Include", INDEX('Summary Dynamic'!$D$19:$D$20, MATCH(K111, 'Summary Dynamic'!$C$19:$C$20, 0))="Include", INDEX('Summary Dynamic'!$D$25:$D$26, MATCH(L111, 'Summary Dynamic'!$C$25:$C$26, 0))="Include",'Summary Dynamic'!$D$23="Include"))</f>
        <v>1</v>
      </c>
      <c r="CN111" s="613">
        <f>IFERROR(IF(CM111=TRUE, COUNTIFS($CM$16:CM111, TRUE), ""), "")</f>
        <v>96</v>
      </c>
      <c r="CP111" s="614" t="str">
        <f t="shared" si="172"/>
        <v>Non-Rural Private</v>
      </c>
      <c r="CY111" s="615"/>
      <c r="CZ111" s="616"/>
    </row>
    <row r="112" spans="2:104" x14ac:dyDescent="0.25">
      <c r="B112" s="617">
        <f t="shared" si="173"/>
        <v>97</v>
      </c>
      <c r="C112" s="593" t="s">
        <v>795</v>
      </c>
      <c r="D112" s="594" t="s">
        <v>795</v>
      </c>
      <c r="E112" s="594" t="s">
        <v>796</v>
      </c>
      <c r="F112" s="407" t="s">
        <v>797</v>
      </c>
      <c r="G112" s="408" t="s">
        <v>798</v>
      </c>
      <c r="H112" s="408" t="s">
        <v>22</v>
      </c>
      <c r="I112" s="408" t="s">
        <v>28</v>
      </c>
      <c r="J112" s="408" t="s">
        <v>31</v>
      </c>
      <c r="K112" s="408" t="s">
        <v>35</v>
      </c>
      <c r="L112" s="408" t="s">
        <v>35</v>
      </c>
      <c r="M112" s="408" t="s">
        <v>35</v>
      </c>
      <c r="N112" s="595" t="str">
        <f t="shared" ref="N112:N143" si="189">IFERROR(IF(I112="Public",IF(J112="Rural","Yes","No"),IF(J112="","","No")),"")</f>
        <v>Yes</v>
      </c>
      <c r="O112" s="596">
        <v>676</v>
      </c>
      <c r="P112" s="596">
        <v>3477</v>
      </c>
      <c r="Q112" s="597">
        <v>0.1838695168815733</v>
      </c>
      <c r="R112" s="596">
        <f t="shared" si="174"/>
        <v>639.31431019723038</v>
      </c>
      <c r="S112" s="596">
        <f t="shared" si="175"/>
        <v>1315.3143101972305</v>
      </c>
      <c r="T112" s="596">
        <f t="shared" ref="T112:T143" si="190">IFERROR(IF(AND(H112="All Others",I112="Public"),S112*Non_TH_Hold_Harmless_Days_Adj,S112),"")</f>
        <v>1777.3842273695175</v>
      </c>
      <c r="U112" s="598">
        <f t="shared" si="176"/>
        <v>4.1582316043878932E-4</v>
      </c>
      <c r="V112" s="599">
        <f t="shared" si="185"/>
        <v>0</v>
      </c>
      <c r="W112" s="600">
        <v>2570353.8915245365</v>
      </c>
      <c r="X112" s="600">
        <v>0</v>
      </c>
      <c r="Y112" s="600">
        <v>87364.440123112174</v>
      </c>
      <c r="Z112" s="600">
        <f t="shared" si="177"/>
        <v>0</v>
      </c>
      <c r="AA112" s="600">
        <f t="shared" si="178"/>
        <v>2570353.8915245365</v>
      </c>
      <c r="AB112" s="601">
        <f t="shared" ref="AB112:AB143" si="191">IF(C112="","",IF(H112="Class 1 (TH)",W112/SUMIF(H:H,"Class 1 (TH)",W:W),0))</f>
        <v>0</v>
      </c>
      <c r="AC112" s="599">
        <v>462495.47359393066</v>
      </c>
      <c r="AD112" s="599">
        <f>MAX(IF(M112="Yes",'Assumption Inputs'!$C$40,'Assumption Inputs'!$C$41),AC112)</f>
        <v>6000000</v>
      </c>
      <c r="AE112" s="599">
        <f t="shared" si="186"/>
        <v>1667388.5694319671</v>
      </c>
      <c r="AF112" s="599">
        <f t="shared" ref="AF112:AF143" si="192">IFERROR(IF(C112="","",IF(I112="Public",AE112/Federal_Match_Rate*State_Match_Rate,0)),0)</f>
        <v>902965.32209256955</v>
      </c>
      <c r="AG112" s="599">
        <f t="shared" si="187"/>
        <v>0</v>
      </c>
      <c r="AH112" s="599">
        <f t="shared" si="188"/>
        <v>2570353.8915245365</v>
      </c>
      <c r="AI112" s="599">
        <v>6339483.1324818395</v>
      </c>
      <c r="AJ112" s="599">
        <v>6339483.1324818395</v>
      </c>
      <c r="AK112" s="602">
        <f t="shared" si="179"/>
        <v>1</v>
      </c>
      <c r="AL112" s="603">
        <f t="shared" si="131"/>
        <v>0</v>
      </c>
      <c r="AM112" s="600">
        <f t="shared" si="180"/>
        <v>1667388.5694319671</v>
      </c>
      <c r="AN112" s="600">
        <f t="shared" ref="AN112:AN143" si="193">IF(L112="","",MAX(MIN(AM112,AA112),0))</f>
        <v>1667388.5694319671</v>
      </c>
      <c r="AO112" s="600">
        <f t="shared" si="133"/>
        <v>0</v>
      </c>
      <c r="AP112" s="600">
        <f t="shared" si="134"/>
        <v>902965.32209256943</v>
      </c>
      <c r="AQ112" s="600">
        <f t="shared" si="181"/>
        <v>0</v>
      </c>
      <c r="AR112" s="600">
        <f t="shared" si="182"/>
        <v>1667388.5694319671</v>
      </c>
      <c r="AS112" s="604">
        <f t="shared" ref="AS112:AS143" si="194">IFERROR(IF(C112="","",IF(I112="Public",AR112/Federal_Match_Rate*State_Match_Rate,0)),0)</f>
        <v>902965.32209256955</v>
      </c>
      <c r="AT112" s="605">
        <f t="shared" ref="AT112:AT143" si="195">IF(C112="","",($AR$7/Federal_Match_Rate*State_Match_Rate)*AB112)</f>
        <v>0</v>
      </c>
      <c r="AU112" s="600">
        <f t="shared" ref="AU112:AU143" si="196">IF(C112="","",AR112+AS112+AT112)</f>
        <v>2570353.8915245365</v>
      </c>
      <c r="AV112" s="600">
        <f t="shared" ref="AV112:AV143" si="197">IF(C112="","",MAX(MIN(AU112,AA112),0))</f>
        <v>2570353.8915245365</v>
      </c>
      <c r="AW112" s="600">
        <f t="shared" ref="AW112:AW143" si="198">IF(C112="","",AU112-AV112)</f>
        <v>0</v>
      </c>
      <c r="AX112" s="600">
        <f t="shared" ref="AX112:AX143" si="199">IF(C112="","",MAX(AA112-AV112,0))</f>
        <v>0</v>
      </c>
      <c r="AY112" s="600">
        <f t="shared" ref="AY112:AY143" si="200">IF(C112="","",AX112/$AX$9*$AW$9)</f>
        <v>0</v>
      </c>
      <c r="AZ112" s="600">
        <f t="shared" ref="AZ112:AZ143" si="201">IF(C112="","",AV112+AY112)</f>
        <v>2570353.8915245365</v>
      </c>
      <c r="BA112" s="600">
        <f t="shared" ref="BA112:BA143" si="202">IF(C112="","",IF(OR(I112="Public",I112= "State"),(AW112*State_Match_Rate)*-1,0))</f>
        <v>0</v>
      </c>
      <c r="BB112" s="600">
        <f t="shared" ref="BB112:BB143" si="203">IF(C112="","",IF(OR(I112="Public",I112= "State"),AY112*State_Match_Rate,0))</f>
        <v>0</v>
      </c>
      <c r="BC112" s="600">
        <f t="shared" ref="BC112:BC143" si="204">IF(C112="","",AB112*$AY$3*State_Match_Rate)</f>
        <v>0</v>
      </c>
      <c r="BD112" s="600">
        <f t="shared" ref="BD112:BD143" si="205">IF(C112="","",AS112+AT112+BB112+BC112+BA112)</f>
        <v>902965.32209256955</v>
      </c>
      <c r="BE112" s="600">
        <f t="shared" ref="BE112:BE143" si="206">IF(C112="","",MAX(AA112-AZ112,0))</f>
        <v>0</v>
      </c>
      <c r="BF112" s="600">
        <f t="shared" ref="BF112:BF143" si="207">IF(C112="","",AZ112-BD112)</f>
        <v>1667388.5694319671</v>
      </c>
      <c r="BG112" s="600">
        <v>0</v>
      </c>
      <c r="BH112" s="600">
        <v>0</v>
      </c>
      <c r="BI112" s="600">
        <f t="shared" ref="BI112:BI143" si="208">IF(C112="","",0)</f>
        <v>0</v>
      </c>
      <c r="BJ112" s="600">
        <f t="shared" ref="BJ112:BJ143" si="209">IF(C112="","",ROUND(AZ112-BG112,2))</f>
        <v>2570353.89</v>
      </c>
      <c r="BK112" s="600">
        <f t="shared" ref="BK112:BK143" si="210">IF(C112="","",BJ112*State_Match_Rate)</f>
        <v>902965.32155699993</v>
      </c>
      <c r="BL112" s="600">
        <v>2570353.89</v>
      </c>
      <c r="BM112" s="600">
        <f t="shared" ref="BM112:BM143" si="211">IF(C112="","",IF(AND(I112="Private",BJ112&lt;0),(BJ112*-1)*State_Match_Rate,0))</f>
        <v>0</v>
      </c>
      <c r="BN112" s="600">
        <f t="shared" ref="BN112:BN143" si="212">IF(C112="","",AB112*$BN$3)</f>
        <v>0</v>
      </c>
      <c r="BO112" s="600">
        <f t="shared" ref="BO112:BO143" si="213">IF(C112="","",ROUND((BD112-BH112)+BN112,2))</f>
        <v>902965.32</v>
      </c>
      <c r="BP112" s="600">
        <f t="shared" ref="BP112:BP143" si="214">IF(C112="","",BL112*State_Match_Rate)</f>
        <v>902965.32155699993</v>
      </c>
      <c r="BQ112" s="600">
        <f t="shared" ref="BQ112:BQ143" si="215">IF(C112="","",AB112*$BR$3)</f>
        <v>0</v>
      </c>
      <c r="BR112" s="600">
        <f t="shared" ref="BR112:BR143" si="216">IF(C112="","",ROUND(IF(H112="Class 1 (TH)",BP112+BQ112,IF(AND(I112="Public",H112&lt;&gt;"Class 1 (TH)"),BP112,IF(I112="State",BP112,0))),2))</f>
        <v>902965.32</v>
      </c>
      <c r="BT112" s="606">
        <f t="shared" ref="BT112:BT143" si="217">IF(AND(J112="Rural",I112="Public"),(AJ112+BL112+BG112)/AI112,1)</f>
        <v>1.4054516490201205</v>
      </c>
      <c r="BU112" s="607">
        <f t="shared" ref="BU112:BU143" si="218">IF(AND(I112="Public",J112="Rural"),IF(BT112&gt;$BU$3,0,AI112*$BU$3-(AJ112+BL112+BG112)),0)</f>
        <v>0</v>
      </c>
      <c r="BV112" s="606">
        <f t="shared" ref="BV112:BV143" si="219">IFERROR(IF(AND(J112="Rural",I112="Private"),(AJ112+BL112+BG112)/AI112,1),"")</f>
        <v>1</v>
      </c>
      <c r="BW112" s="607">
        <f t="shared" ref="BW112:BW143" si="220">IF(AND(I112="Private",J112="Rural"),IF(BV112&gt;=$BW$3,0,AI112*$BW$3-(AJ112+BL112+BG112)),0)</f>
        <v>0</v>
      </c>
      <c r="BX112" s="607">
        <f t="shared" ref="BX112:BX143" si="221">IF(C112="","",IF(AND(J112="Rural",I112="Public"),BE112*State_Match_Rate,0))</f>
        <v>0</v>
      </c>
      <c r="BY112" s="607">
        <f t="shared" ref="BY112:BY143" si="222">IF(C112="","",IF(AND(J112="Rural",I112="Public"),BE112,0))</f>
        <v>0</v>
      </c>
      <c r="BZ112" s="607">
        <f t="shared" ref="BZ112:BZ143" si="223">IF(C112="","",BX112/State_Match_Rate)</f>
        <v>0</v>
      </c>
      <c r="CA112" s="607">
        <f t="shared" ref="CA112:CA143" si="224">IFERROR(IF(C112="","",IF(BZ105&lt;Pass_3_Set_Aside,BZ112,ROUND((BZ112/$BZ$9)*(Pass_3_Set_Aside),2))),0)</f>
        <v>0</v>
      </c>
      <c r="CB112" s="607">
        <f t="shared" si="183"/>
        <v>0</v>
      </c>
      <c r="CC112" s="607">
        <f t="shared" ref="CC112:CC143" si="225">IF(C112="","",IF(AND(J112="Rural",I112="Private"),BE112*State_Match_Rate,0))</f>
        <v>0</v>
      </c>
      <c r="CD112" s="607">
        <f t="shared" ref="CD112:CD143" si="226">IF(C112="","",IF(AND(J112="Rural",I112="Private"),BE112,0))</f>
        <v>0</v>
      </c>
      <c r="CE112" s="607">
        <f t="shared" ref="CE112:CE143" si="227">IF(C112="","",CC112/State_Match_Rate)</f>
        <v>0</v>
      </c>
      <c r="CF112" s="607">
        <f t="shared" ref="CF112:CF143" si="228">ROUND((CE112/$CE$9)*((Pass_3_Set_Aside)-$CA$9)*$CF$4*Federal_Match_Rate,2)</f>
        <v>0</v>
      </c>
      <c r="CG112" s="607">
        <f t="shared" ref="CG112:CG143" si="229">($CF$9/Federal_Match_Rate*State_Match_Rate)*AB112</f>
        <v>0</v>
      </c>
      <c r="CH112" s="607">
        <f t="shared" ref="CH112:CH143" si="230">IF(C112="","",CA112+BL112+BG112+CF112+CG112)</f>
        <v>2570353.89</v>
      </c>
      <c r="CI112" s="609"/>
      <c r="CK112" s="610" t="str">
        <f t="shared" si="184"/>
        <v/>
      </c>
      <c r="CL112" s="611" t="str">
        <f>IF(CK112="","",COUNTIFS($CK$16:CK112,"Yes")+MAX(State!AD:AD))</f>
        <v/>
      </c>
      <c r="CM112" s="612" t="b">
        <f>IF(C112="", "", AND(INDEX('Summary Dynamic'!$D$8:$D$10, MATCH(H112, 'Summary Dynamic'!$C$8:$C$10, 0))="Include", INDEX('Summary Dynamic'!$D$12:$D$14, MATCH(I112, 'Summary Dynamic'!$C$12:$C$14, 0))="Include", INDEX('Summary Dynamic'!$D$16:$D$17, MATCH(J112, 'Summary Dynamic'!$C$16:$C$17, 0))="Include", INDEX('Summary Dynamic'!$D$19:$D$20, MATCH(K112, 'Summary Dynamic'!$C$19:$C$20, 0))="Include", INDEX('Summary Dynamic'!$D$25:$D$26, MATCH(L112, 'Summary Dynamic'!$C$25:$C$26, 0))="Include",'Summary Dynamic'!$D$23="Include"))</f>
        <v>1</v>
      </c>
      <c r="CN112" s="613">
        <f>IFERROR(IF(CM112=TRUE, COUNTIFS($CM$16:CM112, TRUE), ""), "")</f>
        <v>97</v>
      </c>
      <c r="CP112" s="614" t="str">
        <f t="shared" ref="CP112:CP143" si="231">IF(H112="Class 1 (TH)","Urban Public Class 1",IF(AND(OR(H112="Class 2", H112="All Others"),I112="Public",J112="Rural"),"Rural Public",IF(AND(OR(H112="Class 2",H112="All Others"),I112="Public",J112="no"),"Non-Rural Public",IF(AND(I112="Private",K112="Yes"),"Children's Hospital",IF(AND(I112="Private",J112="Rural"),"Rural Private",IF(AND(I112="Private",K112="No"),"Non-Rural Private",0))))))</f>
        <v>Rural Public</v>
      </c>
      <c r="CY112" s="615"/>
      <c r="CZ112" s="616"/>
    </row>
    <row r="113" spans="2:104" x14ac:dyDescent="0.25">
      <c r="B113" s="617">
        <f t="shared" si="173"/>
        <v>98</v>
      </c>
      <c r="C113" s="593" t="s">
        <v>799</v>
      </c>
      <c r="D113" s="594" t="s">
        <v>799</v>
      </c>
      <c r="E113" s="594" t="s">
        <v>800</v>
      </c>
      <c r="F113" s="407" t="s">
        <v>801</v>
      </c>
      <c r="G113" s="408" t="s">
        <v>802</v>
      </c>
      <c r="H113" s="408" t="s">
        <v>22</v>
      </c>
      <c r="I113" s="408" t="s">
        <v>28</v>
      </c>
      <c r="J113" s="408" t="s">
        <v>31</v>
      </c>
      <c r="K113" s="408" t="s">
        <v>35</v>
      </c>
      <c r="L113" s="408" t="s">
        <v>35</v>
      </c>
      <c r="M113" s="408" t="s">
        <v>35</v>
      </c>
      <c r="N113" s="595" t="str">
        <f t="shared" si="189"/>
        <v>Yes</v>
      </c>
      <c r="O113" s="596">
        <v>2512</v>
      </c>
      <c r="P113" s="596">
        <v>17216</v>
      </c>
      <c r="Q113" s="597">
        <v>0.15771095113627553</v>
      </c>
      <c r="R113" s="596">
        <f t="shared" si="174"/>
        <v>2715.1517347621198</v>
      </c>
      <c r="S113" s="596">
        <f t="shared" si="175"/>
        <v>5227.1517347621193</v>
      </c>
      <c r="T113" s="596">
        <f t="shared" si="190"/>
        <v>7063.4501391840513</v>
      </c>
      <c r="U113" s="598">
        <f t="shared" si="176"/>
        <v>1.6525105350035758E-3</v>
      </c>
      <c r="V113" s="599">
        <f t="shared" si="185"/>
        <v>0</v>
      </c>
      <c r="W113" s="600">
        <v>1402425.5873335709</v>
      </c>
      <c r="X113" s="600">
        <v>0</v>
      </c>
      <c r="Y113" s="600">
        <v>2609307.3638702538</v>
      </c>
      <c r="Z113" s="600">
        <f t="shared" si="177"/>
        <v>0</v>
      </c>
      <c r="AA113" s="600">
        <f t="shared" si="178"/>
        <v>1402425.5873335709</v>
      </c>
      <c r="AB113" s="601">
        <f t="shared" si="191"/>
        <v>0</v>
      </c>
      <c r="AC113" s="599">
        <v>0</v>
      </c>
      <c r="AD113" s="599">
        <f>MAX(IF(M113="Yes",'Assumption Inputs'!$C$40,'Assumption Inputs'!$C$41),AC113)</f>
        <v>6000000</v>
      </c>
      <c r="AE113" s="599">
        <f t="shared" si="186"/>
        <v>909753.47850328754</v>
      </c>
      <c r="AF113" s="599">
        <f t="shared" si="192"/>
        <v>492672.1088302834</v>
      </c>
      <c r="AG113" s="599">
        <f t="shared" si="187"/>
        <v>0</v>
      </c>
      <c r="AH113" s="599">
        <f t="shared" si="188"/>
        <v>1402425.5873335709</v>
      </c>
      <c r="AI113" s="599">
        <v>16728278.953204706</v>
      </c>
      <c r="AJ113" s="599">
        <v>16728278.953204706</v>
      </c>
      <c r="AK113" s="602">
        <f t="shared" si="179"/>
        <v>1</v>
      </c>
      <c r="AL113" s="603">
        <f t="shared" si="131"/>
        <v>0</v>
      </c>
      <c r="AM113" s="600">
        <f t="shared" si="180"/>
        <v>909753.47850328754</v>
      </c>
      <c r="AN113" s="600">
        <f t="shared" si="193"/>
        <v>909753.47850328754</v>
      </c>
      <c r="AO113" s="600">
        <f t="shared" si="133"/>
        <v>0</v>
      </c>
      <c r="AP113" s="600">
        <f t="shared" si="134"/>
        <v>492672.1088302834</v>
      </c>
      <c r="AQ113" s="600">
        <f t="shared" si="181"/>
        <v>0</v>
      </c>
      <c r="AR113" s="600">
        <f t="shared" si="182"/>
        <v>909753.47850328754</v>
      </c>
      <c r="AS113" s="604">
        <f t="shared" si="194"/>
        <v>492672.1088302834</v>
      </c>
      <c r="AT113" s="605">
        <f t="shared" si="195"/>
        <v>0</v>
      </c>
      <c r="AU113" s="600">
        <f t="shared" si="196"/>
        <v>1402425.5873335709</v>
      </c>
      <c r="AV113" s="600">
        <f t="shared" si="197"/>
        <v>1402425.5873335709</v>
      </c>
      <c r="AW113" s="600">
        <f t="shared" si="198"/>
        <v>0</v>
      </c>
      <c r="AX113" s="600">
        <f t="shared" si="199"/>
        <v>0</v>
      </c>
      <c r="AY113" s="600">
        <f t="shared" si="200"/>
        <v>0</v>
      </c>
      <c r="AZ113" s="600">
        <f t="shared" si="201"/>
        <v>1402425.5873335709</v>
      </c>
      <c r="BA113" s="600">
        <f t="shared" si="202"/>
        <v>0</v>
      </c>
      <c r="BB113" s="600">
        <f t="shared" si="203"/>
        <v>0</v>
      </c>
      <c r="BC113" s="600">
        <f t="shared" si="204"/>
        <v>0</v>
      </c>
      <c r="BD113" s="600">
        <f t="shared" si="205"/>
        <v>492672.1088302834</v>
      </c>
      <c r="BE113" s="600">
        <f t="shared" si="206"/>
        <v>0</v>
      </c>
      <c r="BF113" s="600">
        <f t="shared" si="207"/>
        <v>909753.47850328754</v>
      </c>
      <c r="BG113" s="600">
        <v>0</v>
      </c>
      <c r="BH113" s="600">
        <v>0</v>
      </c>
      <c r="BI113" s="600">
        <f t="shared" si="208"/>
        <v>0</v>
      </c>
      <c r="BJ113" s="600">
        <f t="shared" si="209"/>
        <v>1402425.59</v>
      </c>
      <c r="BK113" s="600">
        <f t="shared" si="210"/>
        <v>492672.10976699996</v>
      </c>
      <c r="BL113" s="600">
        <v>1402425.59</v>
      </c>
      <c r="BM113" s="600">
        <f t="shared" si="211"/>
        <v>0</v>
      </c>
      <c r="BN113" s="600">
        <f t="shared" si="212"/>
        <v>0</v>
      </c>
      <c r="BO113" s="600">
        <f t="shared" si="213"/>
        <v>492672.11</v>
      </c>
      <c r="BP113" s="600">
        <f t="shared" si="214"/>
        <v>492672.10976699996</v>
      </c>
      <c r="BQ113" s="600">
        <f t="shared" si="215"/>
        <v>0</v>
      </c>
      <c r="BR113" s="600">
        <f t="shared" si="216"/>
        <v>492672.11</v>
      </c>
      <c r="BT113" s="606">
        <f t="shared" si="217"/>
        <v>1.0838356171560213</v>
      </c>
      <c r="BU113" s="607">
        <f t="shared" si="218"/>
        <v>0</v>
      </c>
      <c r="BV113" s="606">
        <f t="shared" si="219"/>
        <v>1</v>
      </c>
      <c r="BW113" s="607">
        <f t="shared" si="220"/>
        <v>0</v>
      </c>
      <c r="BX113" s="607">
        <f t="shared" si="221"/>
        <v>0</v>
      </c>
      <c r="BY113" s="607">
        <f t="shared" si="222"/>
        <v>0</v>
      </c>
      <c r="BZ113" s="607">
        <f t="shared" si="223"/>
        <v>0</v>
      </c>
      <c r="CA113" s="607">
        <f t="shared" si="224"/>
        <v>0</v>
      </c>
      <c r="CB113" s="607">
        <f t="shared" si="183"/>
        <v>0</v>
      </c>
      <c r="CC113" s="607">
        <f t="shared" si="225"/>
        <v>0</v>
      </c>
      <c r="CD113" s="607">
        <f t="shared" si="226"/>
        <v>0</v>
      </c>
      <c r="CE113" s="607">
        <f t="shared" si="227"/>
        <v>0</v>
      </c>
      <c r="CF113" s="607">
        <f t="shared" si="228"/>
        <v>0</v>
      </c>
      <c r="CG113" s="607">
        <f t="shared" si="229"/>
        <v>0</v>
      </c>
      <c r="CH113" s="607">
        <f t="shared" si="230"/>
        <v>1402425.59</v>
      </c>
      <c r="CI113" s="609"/>
      <c r="CK113" s="610" t="str">
        <f t="shared" si="184"/>
        <v/>
      </c>
      <c r="CL113" s="611" t="str">
        <f>IF(CK113="","",COUNTIFS($CK$16:CK113,"Yes")+MAX(State!AD:AD))</f>
        <v/>
      </c>
      <c r="CM113" s="612" t="b">
        <f>IF(C113="", "", AND(INDEX('Summary Dynamic'!$D$8:$D$10, MATCH(H113, 'Summary Dynamic'!$C$8:$C$10, 0))="Include", INDEX('Summary Dynamic'!$D$12:$D$14, MATCH(I113, 'Summary Dynamic'!$C$12:$C$14, 0))="Include", INDEX('Summary Dynamic'!$D$16:$D$17, MATCH(J113, 'Summary Dynamic'!$C$16:$C$17, 0))="Include", INDEX('Summary Dynamic'!$D$19:$D$20, MATCH(K113, 'Summary Dynamic'!$C$19:$C$20, 0))="Include", INDEX('Summary Dynamic'!$D$25:$D$26, MATCH(L113, 'Summary Dynamic'!$C$25:$C$26, 0))="Include",'Summary Dynamic'!$D$23="Include"))</f>
        <v>1</v>
      </c>
      <c r="CN113" s="613">
        <f>IFERROR(IF(CM113=TRUE, COUNTIFS($CM$16:CM113, TRUE), ""), "")</f>
        <v>98</v>
      </c>
      <c r="CP113" s="614" t="str">
        <f t="shared" si="231"/>
        <v>Rural Public</v>
      </c>
      <c r="CY113" s="615"/>
      <c r="CZ113" s="616"/>
    </row>
    <row r="114" spans="2:104" x14ac:dyDescent="0.25">
      <c r="B114" s="617">
        <f t="shared" si="173"/>
        <v>99</v>
      </c>
      <c r="C114" s="593" t="s">
        <v>803</v>
      </c>
      <c r="D114" s="594" t="s">
        <v>803</v>
      </c>
      <c r="E114" s="594" t="s">
        <v>804</v>
      </c>
      <c r="F114" s="407" t="s">
        <v>805</v>
      </c>
      <c r="G114" s="408" t="s">
        <v>806</v>
      </c>
      <c r="H114" s="408" t="s">
        <v>22</v>
      </c>
      <c r="I114" s="408" t="s">
        <v>28</v>
      </c>
      <c r="J114" s="408" t="s">
        <v>31</v>
      </c>
      <c r="K114" s="408" t="s">
        <v>35</v>
      </c>
      <c r="L114" s="408" t="s">
        <v>35</v>
      </c>
      <c r="M114" s="408" t="s">
        <v>35</v>
      </c>
      <c r="N114" s="595" t="str">
        <f t="shared" si="189"/>
        <v>Yes</v>
      </c>
      <c r="O114" s="596">
        <v>1112</v>
      </c>
      <c r="P114" s="596">
        <v>9358</v>
      </c>
      <c r="Q114" s="597">
        <v>0.35499505337172804</v>
      </c>
      <c r="R114" s="596">
        <f t="shared" si="174"/>
        <v>3322.043709452631</v>
      </c>
      <c r="S114" s="596">
        <f t="shared" si="175"/>
        <v>4434.0437094526314</v>
      </c>
      <c r="T114" s="596">
        <f t="shared" si="190"/>
        <v>5991.723264583341</v>
      </c>
      <c r="U114" s="598">
        <f t="shared" si="176"/>
        <v>1.4017775481450156E-3</v>
      </c>
      <c r="V114" s="599">
        <f t="shared" si="185"/>
        <v>0</v>
      </c>
      <c r="W114" s="600">
        <v>7405023.1018856773</v>
      </c>
      <c r="X114" s="600">
        <v>0</v>
      </c>
      <c r="Y114" s="600">
        <v>2690984.6873641638</v>
      </c>
      <c r="Z114" s="600">
        <f t="shared" si="177"/>
        <v>0</v>
      </c>
      <c r="AA114" s="600">
        <f t="shared" si="178"/>
        <v>7405023.1018856773</v>
      </c>
      <c r="AB114" s="601">
        <f t="shared" si="191"/>
        <v>0</v>
      </c>
      <c r="AC114" s="599">
        <v>943825.35209196177</v>
      </c>
      <c r="AD114" s="599">
        <f>MAX(IF(M114="Yes",'Assumption Inputs'!$C$40,'Assumption Inputs'!$C$41),AC114)</f>
        <v>6000000</v>
      </c>
      <c r="AE114" s="599">
        <f t="shared" si="186"/>
        <v>4803638.4861932397</v>
      </c>
      <c r="AF114" s="599">
        <f t="shared" si="192"/>
        <v>2601384.6156924386</v>
      </c>
      <c r="AG114" s="599">
        <f t="shared" si="187"/>
        <v>0</v>
      </c>
      <c r="AH114" s="599">
        <f t="shared" si="188"/>
        <v>7405023.1018856782</v>
      </c>
      <c r="AI114" s="599">
        <v>12425841.206126131</v>
      </c>
      <c r="AJ114" s="599">
        <v>12425841.206126135</v>
      </c>
      <c r="AK114" s="602">
        <f t="shared" si="179"/>
        <v>1.0000000000000002</v>
      </c>
      <c r="AL114" s="603">
        <f t="shared" si="131"/>
        <v>0</v>
      </c>
      <c r="AM114" s="600">
        <f t="shared" si="180"/>
        <v>4803638.4861932397</v>
      </c>
      <c r="AN114" s="600">
        <f t="shared" si="193"/>
        <v>4803638.4861932397</v>
      </c>
      <c r="AO114" s="600">
        <f t="shared" si="133"/>
        <v>0</v>
      </c>
      <c r="AP114" s="600">
        <f t="shared" si="134"/>
        <v>2601384.6156924376</v>
      </c>
      <c r="AQ114" s="600">
        <f t="shared" si="181"/>
        <v>0</v>
      </c>
      <c r="AR114" s="600">
        <f t="shared" si="182"/>
        <v>4803638.4861932397</v>
      </c>
      <c r="AS114" s="604">
        <f t="shared" si="194"/>
        <v>2601384.6156924386</v>
      </c>
      <c r="AT114" s="605">
        <f t="shared" si="195"/>
        <v>0</v>
      </c>
      <c r="AU114" s="600">
        <f t="shared" si="196"/>
        <v>7405023.1018856782</v>
      </c>
      <c r="AV114" s="600">
        <f t="shared" si="197"/>
        <v>7405023.1018856773</v>
      </c>
      <c r="AW114" s="600">
        <f t="shared" si="198"/>
        <v>9.3132257461547852E-10</v>
      </c>
      <c r="AX114" s="600">
        <f t="shared" si="199"/>
        <v>0</v>
      </c>
      <c r="AY114" s="600">
        <f t="shared" si="200"/>
        <v>0</v>
      </c>
      <c r="AZ114" s="600">
        <f t="shared" si="201"/>
        <v>7405023.1018856773</v>
      </c>
      <c r="BA114" s="600">
        <f t="shared" si="202"/>
        <v>-3.2717362046241755E-10</v>
      </c>
      <c r="BB114" s="600">
        <f t="shared" si="203"/>
        <v>0</v>
      </c>
      <c r="BC114" s="600">
        <f t="shared" si="204"/>
        <v>0</v>
      </c>
      <c r="BD114" s="600">
        <f t="shared" si="205"/>
        <v>2601384.6156924381</v>
      </c>
      <c r="BE114" s="600">
        <f t="shared" si="206"/>
        <v>0</v>
      </c>
      <c r="BF114" s="600">
        <f t="shared" si="207"/>
        <v>4803638.4861932397</v>
      </c>
      <c r="BG114" s="600">
        <v>0</v>
      </c>
      <c r="BH114" s="600">
        <v>0</v>
      </c>
      <c r="BI114" s="600">
        <f t="shared" si="208"/>
        <v>0</v>
      </c>
      <c r="BJ114" s="600">
        <f t="shared" si="209"/>
        <v>7405023.0999999996</v>
      </c>
      <c r="BK114" s="600">
        <f t="shared" si="210"/>
        <v>2601384.6150299995</v>
      </c>
      <c r="BL114" s="600">
        <v>7405023.0999999996</v>
      </c>
      <c r="BM114" s="600">
        <f t="shared" si="211"/>
        <v>0</v>
      </c>
      <c r="BN114" s="600">
        <f t="shared" si="212"/>
        <v>0</v>
      </c>
      <c r="BO114" s="600">
        <f t="shared" si="213"/>
        <v>2601384.62</v>
      </c>
      <c r="BP114" s="600">
        <f t="shared" si="214"/>
        <v>2601384.6150299995</v>
      </c>
      <c r="BQ114" s="600">
        <f t="shared" si="215"/>
        <v>0</v>
      </c>
      <c r="BR114" s="600">
        <f t="shared" si="216"/>
        <v>2601384.62</v>
      </c>
      <c r="BT114" s="606">
        <f t="shared" si="217"/>
        <v>1.5959373677131179</v>
      </c>
      <c r="BU114" s="607">
        <f t="shared" si="218"/>
        <v>0</v>
      </c>
      <c r="BV114" s="606">
        <f t="shared" si="219"/>
        <v>1</v>
      </c>
      <c r="BW114" s="607">
        <f t="shared" si="220"/>
        <v>0</v>
      </c>
      <c r="BX114" s="607">
        <f t="shared" si="221"/>
        <v>0</v>
      </c>
      <c r="BY114" s="607">
        <f t="shared" si="222"/>
        <v>0</v>
      </c>
      <c r="BZ114" s="607">
        <f t="shared" si="223"/>
        <v>0</v>
      </c>
      <c r="CA114" s="607">
        <f t="shared" si="224"/>
        <v>0</v>
      </c>
      <c r="CB114" s="607">
        <f t="shared" si="183"/>
        <v>0</v>
      </c>
      <c r="CC114" s="607">
        <f t="shared" si="225"/>
        <v>0</v>
      </c>
      <c r="CD114" s="607">
        <f t="shared" si="226"/>
        <v>0</v>
      </c>
      <c r="CE114" s="607">
        <f t="shared" si="227"/>
        <v>0</v>
      </c>
      <c r="CF114" s="607">
        <f t="shared" si="228"/>
        <v>0</v>
      </c>
      <c r="CG114" s="607">
        <f t="shared" si="229"/>
        <v>0</v>
      </c>
      <c r="CH114" s="607">
        <f t="shared" si="230"/>
        <v>7405023.0999999996</v>
      </c>
      <c r="CI114" s="609"/>
      <c r="CK114" s="610" t="str">
        <f t="shared" si="184"/>
        <v/>
      </c>
      <c r="CL114" s="611" t="str">
        <f>IF(CK114="","",COUNTIFS($CK$16:CK114,"Yes")+MAX(State!AD:AD))</f>
        <v/>
      </c>
      <c r="CM114" s="612" t="b">
        <f>IF(C114="", "", AND(INDEX('Summary Dynamic'!$D$8:$D$10, MATCH(H114, 'Summary Dynamic'!$C$8:$C$10, 0))="Include", INDEX('Summary Dynamic'!$D$12:$D$14, MATCH(I114, 'Summary Dynamic'!$C$12:$C$14, 0))="Include", INDEX('Summary Dynamic'!$D$16:$D$17, MATCH(J114, 'Summary Dynamic'!$C$16:$C$17, 0))="Include", INDEX('Summary Dynamic'!$D$19:$D$20, MATCH(K114, 'Summary Dynamic'!$C$19:$C$20, 0))="Include", INDEX('Summary Dynamic'!$D$25:$D$26, MATCH(L114, 'Summary Dynamic'!$C$25:$C$26, 0))="Include",'Summary Dynamic'!$D$23="Include"))</f>
        <v>1</v>
      </c>
      <c r="CN114" s="613">
        <f>IFERROR(IF(CM114=TRUE, COUNTIFS($CM$16:CM114, TRUE), ""), "")</f>
        <v>99</v>
      </c>
      <c r="CP114" s="614" t="str">
        <f t="shared" si="231"/>
        <v>Rural Public</v>
      </c>
      <c r="CY114" s="615"/>
      <c r="CZ114" s="616"/>
    </row>
    <row r="115" spans="2:104" x14ac:dyDescent="0.25">
      <c r="B115" s="617">
        <f t="shared" si="173"/>
        <v>100</v>
      </c>
      <c r="C115" s="593" t="s">
        <v>807</v>
      </c>
      <c r="D115" s="594" t="s">
        <v>807</v>
      </c>
      <c r="E115" s="594" t="s">
        <v>808</v>
      </c>
      <c r="F115" s="407" t="s">
        <v>809</v>
      </c>
      <c r="G115" s="408" t="s">
        <v>298</v>
      </c>
      <c r="H115" s="408" t="s">
        <v>11</v>
      </c>
      <c r="I115" s="408" t="s">
        <v>28</v>
      </c>
      <c r="J115" s="408" t="s">
        <v>35</v>
      </c>
      <c r="K115" s="408" t="s">
        <v>35</v>
      </c>
      <c r="L115" s="408" t="s">
        <v>35</v>
      </c>
      <c r="M115" s="408" t="s">
        <v>37</v>
      </c>
      <c r="N115" s="595" t="str">
        <f t="shared" si="189"/>
        <v>No</v>
      </c>
      <c r="O115" s="596">
        <v>17984</v>
      </c>
      <c r="P115" s="596">
        <v>107921</v>
      </c>
      <c r="Q115" s="597">
        <v>0.34877258065050293</v>
      </c>
      <c r="R115" s="596">
        <f t="shared" si="174"/>
        <v>37639.885676382924</v>
      </c>
      <c r="S115" s="596">
        <f t="shared" si="175"/>
        <v>55623.885676382924</v>
      </c>
      <c r="T115" s="596">
        <f t="shared" si="190"/>
        <v>55623.885676382924</v>
      </c>
      <c r="U115" s="598">
        <f t="shared" si="176"/>
        <v>1.3013337004835925E-2</v>
      </c>
      <c r="V115" s="599">
        <f t="shared" si="185"/>
        <v>0</v>
      </c>
      <c r="W115" s="600">
        <v>147938913.75264102</v>
      </c>
      <c r="X115" s="600">
        <v>0</v>
      </c>
      <c r="Y115" s="600">
        <v>42029627.427444533</v>
      </c>
      <c r="Z115" s="600">
        <f t="shared" si="177"/>
        <v>0</v>
      </c>
      <c r="AA115" s="600">
        <f t="shared" si="178"/>
        <v>147938913.75264102</v>
      </c>
      <c r="AB115" s="601">
        <f t="shared" si="191"/>
        <v>8.729158468701359E-2</v>
      </c>
      <c r="AC115" s="599">
        <v>11440088.303993741</v>
      </c>
      <c r="AD115" s="599">
        <f>MAX(IF(M115="Yes",'Assumption Inputs'!$C$40,'Assumption Inputs'!$C$41),AC115)</f>
        <v>11440088.303993741</v>
      </c>
      <c r="AE115" s="599">
        <f t="shared" si="186"/>
        <v>11440088.303993741</v>
      </c>
      <c r="AF115" s="599">
        <f t="shared" si="192"/>
        <v>6195318.3616355788</v>
      </c>
      <c r="AG115" s="599">
        <f t="shared" si="187"/>
        <v>27824451.6360627</v>
      </c>
      <c r="AH115" s="599">
        <f t="shared" si="188"/>
        <v>17635406.66562932</v>
      </c>
      <c r="AI115" s="599">
        <v>268136556.05228537</v>
      </c>
      <c r="AJ115" s="599">
        <v>137833048.96527374</v>
      </c>
      <c r="AK115" s="602">
        <f t="shared" si="179"/>
        <v>0.51404049859727796</v>
      </c>
      <c r="AL115" s="603">
        <f t="shared" si="131"/>
        <v>26793795.372493953</v>
      </c>
      <c r="AM115" s="600">
        <f t="shared" si="180"/>
        <v>38233883.676487692</v>
      </c>
      <c r="AN115" s="600">
        <f t="shared" si="193"/>
        <v>38233883.676487692</v>
      </c>
      <c r="AO115" s="600">
        <f t="shared" si="133"/>
        <v>0</v>
      </c>
      <c r="AP115" s="600">
        <f t="shared" si="134"/>
        <v>109705030.07615334</v>
      </c>
      <c r="AQ115" s="600">
        <f t="shared" si="181"/>
        <v>0</v>
      </c>
      <c r="AR115" s="600">
        <f t="shared" si="182"/>
        <v>38233883.676487692</v>
      </c>
      <c r="AS115" s="604">
        <f t="shared" si="194"/>
        <v>20705354.301757552</v>
      </c>
      <c r="AT115" s="605">
        <f t="shared" si="195"/>
        <v>31605450.486417994</v>
      </c>
      <c r="AU115" s="600">
        <f t="shared" si="196"/>
        <v>90544688.464663237</v>
      </c>
      <c r="AV115" s="600">
        <f t="shared" si="197"/>
        <v>90544688.464663237</v>
      </c>
      <c r="AW115" s="600">
        <f t="shared" si="198"/>
        <v>0</v>
      </c>
      <c r="AX115" s="600">
        <f t="shared" si="199"/>
        <v>57394225.287977785</v>
      </c>
      <c r="AY115" s="600">
        <f t="shared" si="200"/>
        <v>1.1292596163425948E-10</v>
      </c>
      <c r="AZ115" s="600">
        <f t="shared" si="201"/>
        <v>90544688.464663237</v>
      </c>
      <c r="BA115" s="600">
        <f t="shared" si="202"/>
        <v>0</v>
      </c>
      <c r="BB115" s="600">
        <f t="shared" si="203"/>
        <v>3.967089032211535E-11</v>
      </c>
      <c r="BC115" s="600">
        <f t="shared" si="204"/>
        <v>9.7009902373429257E-11</v>
      </c>
      <c r="BD115" s="600">
        <f t="shared" si="205"/>
        <v>52310804.788175546</v>
      </c>
      <c r="BE115" s="600">
        <f t="shared" si="206"/>
        <v>57394225.287977785</v>
      </c>
      <c r="BF115" s="600">
        <f t="shared" si="207"/>
        <v>38233883.676487692</v>
      </c>
      <c r="BG115" s="600">
        <v>0</v>
      </c>
      <c r="BH115" s="600">
        <v>0</v>
      </c>
      <c r="BI115" s="600">
        <f t="shared" si="208"/>
        <v>0</v>
      </c>
      <c r="BJ115" s="600">
        <f t="shared" si="209"/>
        <v>90544688.459999993</v>
      </c>
      <c r="BK115" s="600">
        <f t="shared" si="210"/>
        <v>31808349.055997994</v>
      </c>
      <c r="BL115" s="600">
        <v>90544688.459999993</v>
      </c>
      <c r="BM115" s="600">
        <f t="shared" si="211"/>
        <v>0</v>
      </c>
      <c r="BN115" s="600">
        <f t="shared" si="212"/>
        <v>0</v>
      </c>
      <c r="BO115" s="600">
        <f t="shared" si="213"/>
        <v>52310804.789999999</v>
      </c>
      <c r="BP115" s="600">
        <f t="shared" si="214"/>
        <v>31808349.055997994</v>
      </c>
      <c r="BQ115" s="600">
        <f t="shared" si="215"/>
        <v>20502455.730321944</v>
      </c>
      <c r="BR115" s="600">
        <f t="shared" si="216"/>
        <v>52310804.789999999</v>
      </c>
      <c r="BT115" s="606">
        <f t="shared" si="217"/>
        <v>1</v>
      </c>
      <c r="BU115" s="607">
        <f t="shared" si="218"/>
        <v>0</v>
      </c>
      <c r="BV115" s="606">
        <f t="shared" si="219"/>
        <v>1</v>
      </c>
      <c r="BW115" s="607">
        <f t="shared" si="220"/>
        <v>0</v>
      </c>
      <c r="BX115" s="607">
        <f t="shared" si="221"/>
        <v>0</v>
      </c>
      <c r="BY115" s="607">
        <f t="shared" si="222"/>
        <v>0</v>
      </c>
      <c r="BZ115" s="607">
        <f t="shared" si="223"/>
        <v>0</v>
      </c>
      <c r="CA115" s="607">
        <f t="shared" si="224"/>
        <v>0</v>
      </c>
      <c r="CB115" s="607">
        <f t="shared" si="183"/>
        <v>0</v>
      </c>
      <c r="CC115" s="607">
        <f t="shared" si="225"/>
        <v>0</v>
      </c>
      <c r="CD115" s="607">
        <f t="shared" si="226"/>
        <v>0</v>
      </c>
      <c r="CE115" s="607">
        <f t="shared" si="227"/>
        <v>0</v>
      </c>
      <c r="CF115" s="607">
        <f t="shared" si="228"/>
        <v>0</v>
      </c>
      <c r="CG115" s="607">
        <f t="shared" si="229"/>
        <v>768547.13466055715</v>
      </c>
      <c r="CH115" s="607">
        <f t="shared" si="230"/>
        <v>91313235.59466055</v>
      </c>
      <c r="CI115" s="609"/>
      <c r="CK115" s="610" t="str">
        <f t="shared" si="184"/>
        <v/>
      </c>
      <c r="CL115" s="611" t="str">
        <f>IF(CK115="","",COUNTIFS($CK$16:CK115,"Yes")+MAX(State!AD:AD))</f>
        <v/>
      </c>
      <c r="CM115" s="612" t="b">
        <f>IF(C115="", "", AND(INDEX('Summary Dynamic'!$D$8:$D$10, MATCH(H115, 'Summary Dynamic'!$C$8:$C$10, 0))="Include", INDEX('Summary Dynamic'!$D$12:$D$14, MATCH(I115, 'Summary Dynamic'!$C$12:$C$14, 0))="Include", INDEX('Summary Dynamic'!$D$16:$D$17, MATCH(J115, 'Summary Dynamic'!$C$16:$C$17, 0))="Include", INDEX('Summary Dynamic'!$D$19:$D$20, MATCH(K115, 'Summary Dynamic'!$C$19:$C$20, 0))="Include", INDEX('Summary Dynamic'!$D$25:$D$26, MATCH(L115, 'Summary Dynamic'!$C$25:$C$26, 0))="Include",'Summary Dynamic'!$D$23="Include"))</f>
        <v>1</v>
      </c>
      <c r="CN115" s="613">
        <f>IFERROR(IF(CM115=TRUE, COUNTIFS($CM$16:CM115, TRUE), ""), "")</f>
        <v>100</v>
      </c>
      <c r="CP115" s="614" t="str">
        <f t="shared" si="231"/>
        <v>Urban Public Class 1</v>
      </c>
      <c r="CY115" s="615"/>
      <c r="CZ115" s="616"/>
    </row>
    <row r="116" spans="2:104" x14ac:dyDescent="0.25">
      <c r="B116" s="617">
        <f t="shared" si="173"/>
        <v>101</v>
      </c>
      <c r="C116" s="593" t="s">
        <v>810</v>
      </c>
      <c r="D116" s="594" t="s">
        <v>810</v>
      </c>
      <c r="E116" s="594" t="s">
        <v>811</v>
      </c>
      <c r="F116" s="407" t="s">
        <v>812</v>
      </c>
      <c r="G116" s="408" t="s">
        <v>564</v>
      </c>
      <c r="H116" s="408" t="s">
        <v>22</v>
      </c>
      <c r="I116" s="408" t="s">
        <v>26</v>
      </c>
      <c r="J116" s="408" t="s">
        <v>35</v>
      </c>
      <c r="K116" s="408" t="s">
        <v>35</v>
      </c>
      <c r="L116" s="408" t="s">
        <v>35</v>
      </c>
      <c r="M116" s="408" t="s">
        <v>37</v>
      </c>
      <c r="N116" s="595" t="str">
        <f t="shared" si="189"/>
        <v>No</v>
      </c>
      <c r="O116" s="596">
        <v>14762</v>
      </c>
      <c r="P116" s="596">
        <v>75163</v>
      </c>
      <c r="Q116" s="597">
        <v>0.1596023177380384</v>
      </c>
      <c r="R116" s="596">
        <f t="shared" si="174"/>
        <v>11996.18900814418</v>
      </c>
      <c r="S116" s="596">
        <f t="shared" si="175"/>
        <v>26758.189008144182</v>
      </c>
      <c r="T116" s="596">
        <f t="shared" si="190"/>
        <v>26758.189008144182</v>
      </c>
      <c r="U116" s="598">
        <f t="shared" si="176"/>
        <v>6.2601403509989382E-3</v>
      </c>
      <c r="V116" s="599">
        <f t="shared" si="185"/>
        <v>0</v>
      </c>
      <c r="W116" s="600">
        <v>22396539.433748588</v>
      </c>
      <c r="X116" s="600">
        <v>0</v>
      </c>
      <c r="Y116" s="600">
        <v>9967938.1081078425</v>
      </c>
      <c r="Z116" s="600">
        <f t="shared" si="177"/>
        <v>0</v>
      </c>
      <c r="AA116" s="600">
        <f t="shared" si="178"/>
        <v>22396539.433748588</v>
      </c>
      <c r="AB116" s="601">
        <f t="shared" si="191"/>
        <v>0</v>
      </c>
      <c r="AC116" s="599">
        <v>637004.43589286786</v>
      </c>
      <c r="AD116" s="599">
        <f>MAX(IF(M116="Yes",'Assumption Inputs'!$C$40,'Assumption Inputs'!$C$41),AC116)</f>
        <v>8000000</v>
      </c>
      <c r="AE116" s="599">
        <f t="shared" si="186"/>
        <v>8000000</v>
      </c>
      <c r="AF116" s="599">
        <f t="shared" si="192"/>
        <v>0</v>
      </c>
      <c r="AG116" s="599">
        <f t="shared" si="187"/>
        <v>0</v>
      </c>
      <c r="AH116" s="599">
        <f t="shared" si="188"/>
        <v>8000000</v>
      </c>
      <c r="AI116" s="599">
        <v>78135325.950467795</v>
      </c>
      <c r="AJ116" s="599">
        <v>63738786.516719215</v>
      </c>
      <c r="AK116" s="602">
        <f t="shared" si="179"/>
        <v>0.81574864814827863</v>
      </c>
      <c r="AL116" s="603">
        <f t="shared" si="131"/>
        <v>0</v>
      </c>
      <c r="AM116" s="600">
        <f t="shared" si="180"/>
        <v>8000000</v>
      </c>
      <c r="AN116" s="600">
        <f t="shared" si="193"/>
        <v>8000000</v>
      </c>
      <c r="AO116" s="600">
        <f t="shared" si="133"/>
        <v>0</v>
      </c>
      <c r="AP116" s="600">
        <f t="shared" si="134"/>
        <v>14396539.433748588</v>
      </c>
      <c r="AQ116" s="600">
        <f t="shared" si="181"/>
        <v>0</v>
      </c>
      <c r="AR116" s="600">
        <f t="shared" si="182"/>
        <v>8000000</v>
      </c>
      <c r="AS116" s="604">
        <f t="shared" si="194"/>
        <v>0</v>
      </c>
      <c r="AT116" s="605">
        <f t="shared" si="195"/>
        <v>0</v>
      </c>
      <c r="AU116" s="600">
        <f t="shared" si="196"/>
        <v>8000000</v>
      </c>
      <c r="AV116" s="600">
        <f t="shared" si="197"/>
        <v>8000000</v>
      </c>
      <c r="AW116" s="600">
        <f t="shared" si="198"/>
        <v>0</v>
      </c>
      <c r="AX116" s="600">
        <f t="shared" si="199"/>
        <v>14396539.433748588</v>
      </c>
      <c r="AY116" s="600">
        <f t="shared" si="200"/>
        <v>2.832589954136269E-11</v>
      </c>
      <c r="AZ116" s="600">
        <f t="shared" si="201"/>
        <v>8000000</v>
      </c>
      <c r="BA116" s="600">
        <f t="shared" si="202"/>
        <v>0</v>
      </c>
      <c r="BB116" s="600">
        <f t="shared" si="203"/>
        <v>0</v>
      </c>
      <c r="BC116" s="600">
        <f t="shared" si="204"/>
        <v>0</v>
      </c>
      <c r="BD116" s="600">
        <f t="shared" si="205"/>
        <v>0</v>
      </c>
      <c r="BE116" s="600">
        <f t="shared" si="206"/>
        <v>14396539.433748588</v>
      </c>
      <c r="BF116" s="600">
        <f t="shared" si="207"/>
        <v>8000000</v>
      </c>
      <c r="BG116" s="600">
        <v>0</v>
      </c>
      <c r="BH116" s="600">
        <v>0</v>
      </c>
      <c r="BI116" s="600">
        <f t="shared" si="208"/>
        <v>0</v>
      </c>
      <c r="BJ116" s="600">
        <f t="shared" si="209"/>
        <v>8000000</v>
      </c>
      <c r="BK116" s="600">
        <f t="shared" si="210"/>
        <v>2810399.9999999995</v>
      </c>
      <c r="BL116" s="600">
        <v>8000000</v>
      </c>
      <c r="BM116" s="600">
        <f t="shared" si="211"/>
        <v>0</v>
      </c>
      <c r="BN116" s="600">
        <f t="shared" si="212"/>
        <v>0</v>
      </c>
      <c r="BO116" s="600">
        <f t="shared" si="213"/>
        <v>0</v>
      </c>
      <c r="BP116" s="600">
        <f t="shared" si="214"/>
        <v>2810399.9999999995</v>
      </c>
      <c r="BQ116" s="600">
        <f t="shared" si="215"/>
        <v>0</v>
      </c>
      <c r="BR116" s="600">
        <f t="shared" si="216"/>
        <v>0</v>
      </c>
      <c r="BT116" s="606">
        <f t="shared" si="217"/>
        <v>1</v>
      </c>
      <c r="BU116" s="607">
        <f t="shared" si="218"/>
        <v>0</v>
      </c>
      <c r="BV116" s="606">
        <f t="shared" si="219"/>
        <v>1</v>
      </c>
      <c r="BW116" s="607">
        <f t="shared" si="220"/>
        <v>0</v>
      </c>
      <c r="BX116" s="607">
        <f t="shared" si="221"/>
        <v>0</v>
      </c>
      <c r="BY116" s="607">
        <f t="shared" si="222"/>
        <v>0</v>
      </c>
      <c r="BZ116" s="607">
        <f t="shared" si="223"/>
        <v>0</v>
      </c>
      <c r="CA116" s="607">
        <f t="shared" si="224"/>
        <v>0</v>
      </c>
      <c r="CB116" s="607">
        <f t="shared" si="183"/>
        <v>0</v>
      </c>
      <c r="CC116" s="607">
        <f t="shared" si="225"/>
        <v>0</v>
      </c>
      <c r="CD116" s="607">
        <f t="shared" si="226"/>
        <v>0</v>
      </c>
      <c r="CE116" s="607">
        <f t="shared" si="227"/>
        <v>0</v>
      </c>
      <c r="CF116" s="607">
        <f t="shared" si="228"/>
        <v>0</v>
      </c>
      <c r="CG116" s="607">
        <f t="shared" si="229"/>
        <v>0</v>
      </c>
      <c r="CH116" s="607">
        <f t="shared" si="230"/>
        <v>8000000</v>
      </c>
      <c r="CI116" s="609"/>
      <c r="CK116" s="610" t="str">
        <f t="shared" si="184"/>
        <v/>
      </c>
      <c r="CL116" s="611" t="str">
        <f>IF(CK116="","",COUNTIFS($CK$16:CK116,"Yes")+MAX(State!AD:AD))</f>
        <v/>
      </c>
      <c r="CM116" s="612" t="b">
        <f>IF(C116="", "", AND(INDEX('Summary Dynamic'!$D$8:$D$10, MATCH(H116, 'Summary Dynamic'!$C$8:$C$10, 0))="Include", INDEX('Summary Dynamic'!$D$12:$D$14, MATCH(I116, 'Summary Dynamic'!$C$12:$C$14, 0))="Include", INDEX('Summary Dynamic'!$D$16:$D$17, MATCH(J116, 'Summary Dynamic'!$C$16:$C$17, 0))="Include", INDEX('Summary Dynamic'!$D$19:$D$20, MATCH(K116, 'Summary Dynamic'!$C$19:$C$20, 0))="Include", INDEX('Summary Dynamic'!$D$25:$D$26, MATCH(L116, 'Summary Dynamic'!$C$25:$C$26, 0))="Include",'Summary Dynamic'!$D$23="Include"))</f>
        <v>1</v>
      </c>
      <c r="CN116" s="613">
        <f>IFERROR(IF(CM116=TRUE, COUNTIFS($CM$16:CM116, TRUE), ""), "")</f>
        <v>101</v>
      </c>
      <c r="CP116" s="614" t="str">
        <f t="shared" si="231"/>
        <v>Non-Rural Private</v>
      </c>
      <c r="CY116" s="615"/>
      <c r="CZ116" s="616"/>
    </row>
    <row r="117" spans="2:104" x14ac:dyDescent="0.25">
      <c r="B117" s="617">
        <f t="shared" si="173"/>
        <v>102</v>
      </c>
      <c r="C117" s="593" t="s">
        <v>813</v>
      </c>
      <c r="D117" s="594" t="s">
        <v>813</v>
      </c>
      <c r="E117" s="594" t="s">
        <v>814</v>
      </c>
      <c r="F117" s="407" t="s">
        <v>815</v>
      </c>
      <c r="G117" s="408" t="s">
        <v>318</v>
      </c>
      <c r="H117" s="408" t="s">
        <v>22</v>
      </c>
      <c r="I117" s="408" t="s">
        <v>26</v>
      </c>
      <c r="J117" s="408" t="s">
        <v>35</v>
      </c>
      <c r="K117" s="408" t="s">
        <v>35</v>
      </c>
      <c r="L117" s="408" t="s">
        <v>35</v>
      </c>
      <c r="M117" s="408" t="s">
        <v>37</v>
      </c>
      <c r="N117" s="595" t="str">
        <f t="shared" si="189"/>
        <v>No</v>
      </c>
      <c r="O117" s="596">
        <v>27989</v>
      </c>
      <c r="P117" s="596">
        <v>252613</v>
      </c>
      <c r="Q117" s="597">
        <v>0.10512573628783112</v>
      </c>
      <c r="R117" s="596">
        <f t="shared" si="174"/>
        <v>26556.127620877884</v>
      </c>
      <c r="S117" s="596">
        <f t="shared" si="175"/>
        <v>54545.127620877887</v>
      </c>
      <c r="T117" s="596">
        <f t="shared" si="190"/>
        <v>54545.127620877887</v>
      </c>
      <c r="U117" s="598">
        <f t="shared" si="176"/>
        <v>1.2760959056904666E-2</v>
      </c>
      <c r="V117" s="599">
        <f t="shared" si="185"/>
        <v>0</v>
      </c>
      <c r="W117" s="600">
        <v>107398699.5693638</v>
      </c>
      <c r="X117" s="600">
        <v>0</v>
      </c>
      <c r="Y117" s="600">
        <v>36710256.589446567</v>
      </c>
      <c r="Z117" s="600">
        <f t="shared" si="177"/>
        <v>0</v>
      </c>
      <c r="AA117" s="600">
        <f t="shared" si="178"/>
        <v>107398699.5693638</v>
      </c>
      <c r="AB117" s="601">
        <f t="shared" si="191"/>
        <v>0</v>
      </c>
      <c r="AC117" s="599">
        <v>4185401.046437386</v>
      </c>
      <c r="AD117" s="599">
        <f>MAX(IF(M117="Yes",'Assumption Inputs'!$C$40,'Assumption Inputs'!$C$41),AC117)</f>
        <v>8000000</v>
      </c>
      <c r="AE117" s="599">
        <f t="shared" si="186"/>
        <v>8000000</v>
      </c>
      <c r="AF117" s="599">
        <f t="shared" si="192"/>
        <v>0</v>
      </c>
      <c r="AG117" s="599">
        <f t="shared" si="187"/>
        <v>0</v>
      </c>
      <c r="AH117" s="599">
        <f t="shared" si="188"/>
        <v>8000000</v>
      </c>
      <c r="AI117" s="599">
        <v>200930655.34056747</v>
      </c>
      <c r="AJ117" s="599">
        <v>101531955.77120365</v>
      </c>
      <c r="AK117" s="602">
        <f t="shared" si="179"/>
        <v>0.50530843886967891</v>
      </c>
      <c r="AL117" s="603">
        <f t="shared" si="131"/>
        <v>21832721.565023065</v>
      </c>
      <c r="AM117" s="600">
        <f t="shared" si="180"/>
        <v>29832721.565023065</v>
      </c>
      <c r="AN117" s="600">
        <f t="shared" si="193"/>
        <v>29832721.565023065</v>
      </c>
      <c r="AO117" s="600">
        <f t="shared" si="133"/>
        <v>0</v>
      </c>
      <c r="AP117" s="600">
        <f t="shared" si="134"/>
        <v>77565978.004340738</v>
      </c>
      <c r="AQ117" s="600">
        <f t="shared" si="181"/>
        <v>0</v>
      </c>
      <c r="AR117" s="600">
        <f t="shared" si="182"/>
        <v>29832721.565023065</v>
      </c>
      <c r="AS117" s="604">
        <f t="shared" si="194"/>
        <v>0</v>
      </c>
      <c r="AT117" s="605">
        <f t="shared" si="195"/>
        <v>0</v>
      </c>
      <c r="AU117" s="600">
        <f t="shared" si="196"/>
        <v>29832721.565023065</v>
      </c>
      <c r="AV117" s="600">
        <f t="shared" si="197"/>
        <v>29832721.565023065</v>
      </c>
      <c r="AW117" s="600">
        <f t="shared" si="198"/>
        <v>0</v>
      </c>
      <c r="AX117" s="600">
        <f t="shared" si="199"/>
        <v>77565978.004340738</v>
      </c>
      <c r="AY117" s="600">
        <f t="shared" si="200"/>
        <v>1.5261487740782811E-10</v>
      </c>
      <c r="AZ117" s="600">
        <f t="shared" si="201"/>
        <v>29832721.565023065</v>
      </c>
      <c r="BA117" s="600">
        <f t="shared" si="202"/>
        <v>0</v>
      </c>
      <c r="BB117" s="600">
        <f t="shared" si="203"/>
        <v>0</v>
      </c>
      <c r="BC117" s="600">
        <f t="shared" si="204"/>
        <v>0</v>
      </c>
      <c r="BD117" s="600">
        <f t="shared" si="205"/>
        <v>0</v>
      </c>
      <c r="BE117" s="600">
        <f t="shared" si="206"/>
        <v>77565978.004340738</v>
      </c>
      <c r="BF117" s="600">
        <f t="shared" si="207"/>
        <v>29832721.565023065</v>
      </c>
      <c r="BG117" s="600">
        <v>0</v>
      </c>
      <c r="BH117" s="600">
        <v>0</v>
      </c>
      <c r="BI117" s="600">
        <f t="shared" si="208"/>
        <v>0</v>
      </c>
      <c r="BJ117" s="600">
        <f t="shared" si="209"/>
        <v>29832721.57</v>
      </c>
      <c r="BK117" s="600">
        <f t="shared" si="210"/>
        <v>10480235.087540999</v>
      </c>
      <c r="BL117" s="600">
        <v>29832721.57</v>
      </c>
      <c r="BM117" s="600">
        <f t="shared" si="211"/>
        <v>0</v>
      </c>
      <c r="BN117" s="600">
        <f t="shared" si="212"/>
        <v>0</v>
      </c>
      <c r="BO117" s="600">
        <f t="shared" si="213"/>
        <v>0</v>
      </c>
      <c r="BP117" s="600">
        <f t="shared" si="214"/>
        <v>10480235.087540999</v>
      </c>
      <c r="BQ117" s="600">
        <f t="shared" si="215"/>
        <v>0</v>
      </c>
      <c r="BR117" s="600">
        <f t="shared" si="216"/>
        <v>0</v>
      </c>
      <c r="BT117" s="606">
        <f t="shared" si="217"/>
        <v>1</v>
      </c>
      <c r="BU117" s="607">
        <f t="shared" si="218"/>
        <v>0</v>
      </c>
      <c r="BV117" s="606">
        <f t="shared" si="219"/>
        <v>1</v>
      </c>
      <c r="BW117" s="607">
        <f t="shared" si="220"/>
        <v>0</v>
      </c>
      <c r="BX117" s="607">
        <f t="shared" si="221"/>
        <v>0</v>
      </c>
      <c r="BY117" s="607">
        <f t="shared" si="222"/>
        <v>0</v>
      </c>
      <c r="BZ117" s="607">
        <f t="shared" si="223"/>
        <v>0</v>
      </c>
      <c r="CA117" s="607">
        <f t="shared" si="224"/>
        <v>0</v>
      </c>
      <c r="CB117" s="607">
        <f t="shared" si="183"/>
        <v>0</v>
      </c>
      <c r="CC117" s="607">
        <f t="shared" si="225"/>
        <v>0</v>
      </c>
      <c r="CD117" s="607">
        <f t="shared" si="226"/>
        <v>0</v>
      </c>
      <c r="CE117" s="607">
        <f t="shared" si="227"/>
        <v>0</v>
      </c>
      <c r="CF117" s="607">
        <f t="shared" si="228"/>
        <v>0</v>
      </c>
      <c r="CG117" s="607">
        <f t="shared" si="229"/>
        <v>0</v>
      </c>
      <c r="CH117" s="607">
        <f t="shared" si="230"/>
        <v>29832721.57</v>
      </c>
      <c r="CI117" s="609"/>
      <c r="CK117" s="610" t="str">
        <f t="shared" si="184"/>
        <v/>
      </c>
      <c r="CL117" s="611" t="str">
        <f>IF(CK117="","",COUNTIFS($CK$16:CK117,"Yes")+MAX(State!AD:AD))</f>
        <v/>
      </c>
      <c r="CM117" s="612" t="b">
        <f>IF(C117="", "", AND(INDEX('Summary Dynamic'!$D$8:$D$10, MATCH(H117, 'Summary Dynamic'!$C$8:$C$10, 0))="Include", INDEX('Summary Dynamic'!$D$12:$D$14, MATCH(I117, 'Summary Dynamic'!$C$12:$C$14, 0))="Include", INDEX('Summary Dynamic'!$D$16:$D$17, MATCH(J117, 'Summary Dynamic'!$C$16:$C$17, 0))="Include", INDEX('Summary Dynamic'!$D$19:$D$20, MATCH(K117, 'Summary Dynamic'!$C$19:$C$20, 0))="Include", INDEX('Summary Dynamic'!$D$25:$D$26, MATCH(L117, 'Summary Dynamic'!$C$25:$C$26, 0))="Include",'Summary Dynamic'!$D$23="Include"))</f>
        <v>1</v>
      </c>
      <c r="CN117" s="613">
        <f>IFERROR(IF(CM117=TRUE, COUNTIFS($CM$16:CM117, TRUE), ""), "")</f>
        <v>102</v>
      </c>
      <c r="CP117" s="614" t="str">
        <f t="shared" si="231"/>
        <v>Non-Rural Private</v>
      </c>
      <c r="CY117" s="615"/>
      <c r="CZ117" s="616"/>
    </row>
    <row r="118" spans="2:104" x14ac:dyDescent="0.25">
      <c r="B118" s="617">
        <f t="shared" si="173"/>
        <v>103</v>
      </c>
      <c r="C118" s="593" t="s">
        <v>816</v>
      </c>
      <c r="D118" s="594" t="s">
        <v>816</v>
      </c>
      <c r="E118" s="594" t="s">
        <v>817</v>
      </c>
      <c r="F118" s="407" t="s">
        <v>818</v>
      </c>
      <c r="G118" s="408" t="s">
        <v>568</v>
      </c>
      <c r="H118" s="408" t="s">
        <v>22</v>
      </c>
      <c r="I118" s="408" t="s">
        <v>28</v>
      </c>
      <c r="J118" s="408" t="s">
        <v>31</v>
      </c>
      <c r="K118" s="408" t="s">
        <v>35</v>
      </c>
      <c r="L118" s="408" t="s">
        <v>35</v>
      </c>
      <c r="M118" s="408" t="s">
        <v>35</v>
      </c>
      <c r="N118" s="595" t="str">
        <f t="shared" si="189"/>
        <v>Yes</v>
      </c>
      <c r="O118" s="596">
        <v>22</v>
      </c>
      <c r="P118" s="596">
        <v>1509</v>
      </c>
      <c r="Q118" s="597">
        <v>0.25628866407816281</v>
      </c>
      <c r="R118" s="596">
        <f t="shared" si="174"/>
        <v>386.73959409394769</v>
      </c>
      <c r="S118" s="596">
        <f t="shared" si="175"/>
        <v>408.73959409394769</v>
      </c>
      <c r="T118" s="596">
        <f t="shared" si="190"/>
        <v>552.32981349915144</v>
      </c>
      <c r="U118" s="598">
        <f t="shared" si="176"/>
        <v>1.29218840314394E-4</v>
      </c>
      <c r="V118" s="599">
        <f t="shared" si="185"/>
        <v>0</v>
      </c>
      <c r="W118" s="600">
        <v>1149299.4844286037</v>
      </c>
      <c r="X118" s="600">
        <v>0</v>
      </c>
      <c r="Y118" s="600">
        <v>400328.27569226723</v>
      </c>
      <c r="Z118" s="600">
        <f t="shared" si="177"/>
        <v>0</v>
      </c>
      <c r="AA118" s="600">
        <f t="shared" si="178"/>
        <v>1149299.4844286037</v>
      </c>
      <c r="AB118" s="601">
        <f t="shared" si="191"/>
        <v>0</v>
      </c>
      <c r="AC118" s="599">
        <v>0</v>
      </c>
      <c r="AD118" s="599">
        <f>MAX(IF(M118="Yes",'Assumption Inputs'!$C$40,'Assumption Inputs'!$C$41),AC118)</f>
        <v>6000000</v>
      </c>
      <c r="AE118" s="599">
        <f t="shared" si="186"/>
        <v>745550.57554883533</v>
      </c>
      <c r="AF118" s="599">
        <f t="shared" si="192"/>
        <v>403748.90887976839</v>
      </c>
      <c r="AG118" s="599">
        <f t="shared" si="187"/>
        <v>0</v>
      </c>
      <c r="AH118" s="599">
        <f t="shared" si="188"/>
        <v>1149299.4844286037</v>
      </c>
      <c r="AI118" s="599">
        <v>3334005.7938063275</v>
      </c>
      <c r="AJ118" s="599">
        <v>3334005.793806327</v>
      </c>
      <c r="AK118" s="602">
        <f t="shared" si="179"/>
        <v>0.99999999999999989</v>
      </c>
      <c r="AL118" s="603">
        <f t="shared" si="131"/>
        <v>0</v>
      </c>
      <c r="AM118" s="600">
        <f t="shared" si="180"/>
        <v>745550.57554883533</v>
      </c>
      <c r="AN118" s="600">
        <f t="shared" si="193"/>
        <v>745550.57554883533</v>
      </c>
      <c r="AO118" s="600">
        <f t="shared" si="133"/>
        <v>0</v>
      </c>
      <c r="AP118" s="600">
        <f t="shared" si="134"/>
        <v>403748.90887976834</v>
      </c>
      <c r="AQ118" s="600">
        <f t="shared" si="181"/>
        <v>0</v>
      </c>
      <c r="AR118" s="600">
        <f t="shared" si="182"/>
        <v>745550.57554883533</v>
      </c>
      <c r="AS118" s="604">
        <f t="shared" si="194"/>
        <v>403748.90887976839</v>
      </c>
      <c r="AT118" s="605">
        <f t="shared" si="195"/>
        <v>0</v>
      </c>
      <c r="AU118" s="600">
        <f t="shared" si="196"/>
        <v>1149299.4844286037</v>
      </c>
      <c r="AV118" s="600">
        <f t="shared" si="197"/>
        <v>1149299.4844286037</v>
      </c>
      <c r="AW118" s="600">
        <f t="shared" si="198"/>
        <v>0</v>
      </c>
      <c r="AX118" s="600">
        <f t="shared" si="199"/>
        <v>0</v>
      </c>
      <c r="AY118" s="600">
        <f t="shared" si="200"/>
        <v>0</v>
      </c>
      <c r="AZ118" s="600">
        <f t="shared" si="201"/>
        <v>1149299.4844286037</v>
      </c>
      <c r="BA118" s="600">
        <f t="shared" si="202"/>
        <v>0</v>
      </c>
      <c r="BB118" s="600">
        <f t="shared" si="203"/>
        <v>0</v>
      </c>
      <c r="BC118" s="600">
        <f t="shared" si="204"/>
        <v>0</v>
      </c>
      <c r="BD118" s="600">
        <f t="shared" si="205"/>
        <v>403748.90887976839</v>
      </c>
      <c r="BE118" s="600">
        <f t="shared" si="206"/>
        <v>0</v>
      </c>
      <c r="BF118" s="600">
        <f t="shared" si="207"/>
        <v>745550.57554883533</v>
      </c>
      <c r="BG118" s="600">
        <v>0</v>
      </c>
      <c r="BH118" s="600">
        <v>0</v>
      </c>
      <c r="BI118" s="600">
        <f t="shared" si="208"/>
        <v>0</v>
      </c>
      <c r="BJ118" s="600">
        <f t="shared" si="209"/>
        <v>1149299.48</v>
      </c>
      <c r="BK118" s="600">
        <f t="shared" si="210"/>
        <v>403748.90732399991</v>
      </c>
      <c r="BL118" s="600">
        <v>1149299.48</v>
      </c>
      <c r="BM118" s="600">
        <f t="shared" si="211"/>
        <v>0</v>
      </c>
      <c r="BN118" s="600">
        <f t="shared" si="212"/>
        <v>0</v>
      </c>
      <c r="BO118" s="600">
        <f t="shared" si="213"/>
        <v>403748.91</v>
      </c>
      <c r="BP118" s="600">
        <f t="shared" si="214"/>
        <v>403748.90732399991</v>
      </c>
      <c r="BQ118" s="600">
        <f t="shared" si="215"/>
        <v>0</v>
      </c>
      <c r="BR118" s="600">
        <f t="shared" si="216"/>
        <v>403748.91</v>
      </c>
      <c r="BT118" s="606">
        <f t="shared" si="217"/>
        <v>1.3447203007670485</v>
      </c>
      <c r="BU118" s="607">
        <f t="shared" si="218"/>
        <v>0</v>
      </c>
      <c r="BV118" s="606">
        <f t="shared" si="219"/>
        <v>1</v>
      </c>
      <c r="BW118" s="607">
        <f t="shared" si="220"/>
        <v>0</v>
      </c>
      <c r="BX118" s="607">
        <f t="shared" si="221"/>
        <v>0</v>
      </c>
      <c r="BY118" s="607">
        <f t="shared" si="222"/>
        <v>0</v>
      </c>
      <c r="BZ118" s="607">
        <f t="shared" si="223"/>
        <v>0</v>
      </c>
      <c r="CA118" s="607">
        <f t="shared" si="224"/>
        <v>0</v>
      </c>
      <c r="CB118" s="607">
        <f t="shared" si="183"/>
        <v>0</v>
      </c>
      <c r="CC118" s="607">
        <f t="shared" si="225"/>
        <v>0</v>
      </c>
      <c r="CD118" s="607">
        <f t="shared" si="226"/>
        <v>0</v>
      </c>
      <c r="CE118" s="607">
        <f t="shared" si="227"/>
        <v>0</v>
      </c>
      <c r="CF118" s="607">
        <f t="shared" si="228"/>
        <v>0</v>
      </c>
      <c r="CG118" s="607">
        <f t="shared" si="229"/>
        <v>0</v>
      </c>
      <c r="CH118" s="607">
        <f t="shared" si="230"/>
        <v>1149299.48</v>
      </c>
      <c r="CI118" s="609"/>
      <c r="CK118" s="610" t="str">
        <f t="shared" si="184"/>
        <v/>
      </c>
      <c r="CL118" s="611" t="str">
        <f>IF(CK118="","",COUNTIFS($CK$16:CK118,"Yes")+MAX(State!AD:AD))</f>
        <v/>
      </c>
      <c r="CM118" s="612" t="b">
        <f>IF(C118="", "", AND(INDEX('Summary Dynamic'!$D$8:$D$10, MATCH(H118, 'Summary Dynamic'!$C$8:$C$10, 0))="Include", INDEX('Summary Dynamic'!$D$12:$D$14, MATCH(I118, 'Summary Dynamic'!$C$12:$C$14, 0))="Include", INDEX('Summary Dynamic'!$D$16:$D$17, MATCH(J118, 'Summary Dynamic'!$C$16:$C$17, 0))="Include", INDEX('Summary Dynamic'!$D$19:$D$20, MATCH(K118, 'Summary Dynamic'!$C$19:$C$20, 0))="Include", INDEX('Summary Dynamic'!$D$25:$D$26, MATCH(L118, 'Summary Dynamic'!$C$25:$C$26, 0))="Include",'Summary Dynamic'!$D$23="Include"))</f>
        <v>1</v>
      </c>
      <c r="CN118" s="613">
        <f>IFERROR(IF(CM118=TRUE, COUNTIFS($CM$16:CM118, TRUE), ""), "")</f>
        <v>103</v>
      </c>
      <c r="CP118" s="614" t="str">
        <f t="shared" si="231"/>
        <v>Rural Public</v>
      </c>
      <c r="CY118" s="615"/>
      <c r="CZ118" s="616"/>
    </row>
    <row r="119" spans="2:104" x14ac:dyDescent="0.25">
      <c r="B119" s="617">
        <f t="shared" si="173"/>
        <v>104</v>
      </c>
      <c r="C119" s="593" t="s">
        <v>819</v>
      </c>
      <c r="D119" s="594" t="s">
        <v>819</v>
      </c>
      <c r="E119" s="594" t="s">
        <v>820</v>
      </c>
      <c r="F119" s="407" t="s">
        <v>821</v>
      </c>
      <c r="G119" s="408" t="s">
        <v>314</v>
      </c>
      <c r="H119" s="408" t="s">
        <v>22</v>
      </c>
      <c r="I119" s="408" t="s">
        <v>26</v>
      </c>
      <c r="J119" s="408" t="s">
        <v>35</v>
      </c>
      <c r="K119" s="408" t="s">
        <v>35</v>
      </c>
      <c r="L119" s="408" t="s">
        <v>35</v>
      </c>
      <c r="M119" s="408" t="s">
        <v>37</v>
      </c>
      <c r="N119" s="595" t="str">
        <f t="shared" si="189"/>
        <v>No</v>
      </c>
      <c r="O119" s="596">
        <v>56944</v>
      </c>
      <c r="P119" s="596">
        <v>322188</v>
      </c>
      <c r="Q119" s="597">
        <v>9.8595367045354029E-2</v>
      </c>
      <c r="R119" s="596">
        <f t="shared" si="174"/>
        <v>31766.244117608523</v>
      </c>
      <c r="S119" s="596">
        <f t="shared" si="175"/>
        <v>88710.244117608527</v>
      </c>
      <c r="T119" s="596">
        <f t="shared" si="190"/>
        <v>88710.244117608527</v>
      </c>
      <c r="U119" s="598">
        <f t="shared" si="176"/>
        <v>2.0753967265071012E-2</v>
      </c>
      <c r="V119" s="599">
        <f t="shared" si="185"/>
        <v>0</v>
      </c>
      <c r="W119" s="600">
        <v>42904579.951403283</v>
      </c>
      <c r="X119" s="600">
        <v>0</v>
      </c>
      <c r="Y119" s="600">
        <v>35857562.550722428</v>
      </c>
      <c r="Z119" s="600">
        <f t="shared" si="177"/>
        <v>0</v>
      </c>
      <c r="AA119" s="600">
        <f t="shared" si="178"/>
        <v>42904579.951403283</v>
      </c>
      <c r="AB119" s="601">
        <f t="shared" si="191"/>
        <v>0</v>
      </c>
      <c r="AC119" s="599">
        <v>0</v>
      </c>
      <c r="AD119" s="599">
        <f>MAX(IF(M119="Yes",'Assumption Inputs'!$C$40,'Assumption Inputs'!$C$41),AC119)</f>
        <v>8000000</v>
      </c>
      <c r="AE119" s="599">
        <f t="shared" si="186"/>
        <v>8000000</v>
      </c>
      <c r="AF119" s="599">
        <f t="shared" si="192"/>
        <v>0</v>
      </c>
      <c r="AG119" s="599">
        <f t="shared" si="187"/>
        <v>0</v>
      </c>
      <c r="AH119" s="599">
        <f t="shared" si="188"/>
        <v>8000000</v>
      </c>
      <c r="AI119" s="599">
        <v>277374727.58377039</v>
      </c>
      <c r="AJ119" s="599">
        <v>242470147.63236716</v>
      </c>
      <c r="AK119" s="602">
        <f t="shared" si="179"/>
        <v>0.87416092210181029</v>
      </c>
      <c r="AL119" s="603">
        <f t="shared" si="131"/>
        <v>0</v>
      </c>
      <c r="AM119" s="600">
        <f t="shared" si="180"/>
        <v>8000000</v>
      </c>
      <c r="AN119" s="600">
        <f t="shared" si="193"/>
        <v>8000000</v>
      </c>
      <c r="AO119" s="600">
        <f t="shared" si="133"/>
        <v>0</v>
      </c>
      <c r="AP119" s="600">
        <f t="shared" si="134"/>
        <v>34904579.951403283</v>
      </c>
      <c r="AQ119" s="600">
        <f t="shared" si="181"/>
        <v>0</v>
      </c>
      <c r="AR119" s="600">
        <f t="shared" si="182"/>
        <v>8000000</v>
      </c>
      <c r="AS119" s="604">
        <f t="shared" si="194"/>
        <v>0</v>
      </c>
      <c r="AT119" s="605">
        <f t="shared" si="195"/>
        <v>0</v>
      </c>
      <c r="AU119" s="600">
        <f t="shared" si="196"/>
        <v>8000000</v>
      </c>
      <c r="AV119" s="600">
        <f t="shared" si="197"/>
        <v>8000000</v>
      </c>
      <c r="AW119" s="600">
        <f t="shared" si="198"/>
        <v>0</v>
      </c>
      <c r="AX119" s="600">
        <f t="shared" si="199"/>
        <v>34904579.951403283</v>
      </c>
      <c r="AY119" s="600">
        <f t="shared" si="200"/>
        <v>6.867647810689682E-11</v>
      </c>
      <c r="AZ119" s="600">
        <f t="shared" si="201"/>
        <v>8000000</v>
      </c>
      <c r="BA119" s="600">
        <f t="shared" si="202"/>
        <v>0</v>
      </c>
      <c r="BB119" s="600">
        <f t="shared" si="203"/>
        <v>0</v>
      </c>
      <c r="BC119" s="600">
        <f t="shared" si="204"/>
        <v>0</v>
      </c>
      <c r="BD119" s="600">
        <f t="shared" si="205"/>
        <v>0</v>
      </c>
      <c r="BE119" s="600">
        <f t="shared" si="206"/>
        <v>34904579.951403283</v>
      </c>
      <c r="BF119" s="600">
        <f t="shared" si="207"/>
        <v>8000000</v>
      </c>
      <c r="BG119" s="600">
        <v>0</v>
      </c>
      <c r="BH119" s="600">
        <v>0</v>
      </c>
      <c r="BI119" s="600">
        <f t="shared" si="208"/>
        <v>0</v>
      </c>
      <c r="BJ119" s="600">
        <f t="shared" si="209"/>
        <v>8000000</v>
      </c>
      <c r="BK119" s="600">
        <f t="shared" si="210"/>
        <v>2810399.9999999995</v>
      </c>
      <c r="BL119" s="600">
        <v>8000000</v>
      </c>
      <c r="BM119" s="600">
        <f t="shared" si="211"/>
        <v>0</v>
      </c>
      <c r="BN119" s="600">
        <f t="shared" si="212"/>
        <v>0</v>
      </c>
      <c r="BO119" s="600">
        <f t="shared" si="213"/>
        <v>0</v>
      </c>
      <c r="BP119" s="600">
        <f t="shared" si="214"/>
        <v>2810399.9999999995</v>
      </c>
      <c r="BQ119" s="600">
        <f t="shared" si="215"/>
        <v>0</v>
      </c>
      <c r="BR119" s="600">
        <f t="shared" si="216"/>
        <v>0</v>
      </c>
      <c r="BT119" s="606">
        <f t="shared" si="217"/>
        <v>1</v>
      </c>
      <c r="BU119" s="607">
        <f t="shared" si="218"/>
        <v>0</v>
      </c>
      <c r="BV119" s="606">
        <f t="shared" si="219"/>
        <v>1</v>
      </c>
      <c r="BW119" s="607">
        <f t="shared" si="220"/>
        <v>0</v>
      </c>
      <c r="BX119" s="607">
        <f t="shared" si="221"/>
        <v>0</v>
      </c>
      <c r="BY119" s="607">
        <f t="shared" si="222"/>
        <v>0</v>
      </c>
      <c r="BZ119" s="607">
        <f t="shared" si="223"/>
        <v>0</v>
      </c>
      <c r="CA119" s="607">
        <f t="shared" si="224"/>
        <v>0</v>
      </c>
      <c r="CB119" s="607">
        <f t="shared" si="183"/>
        <v>0</v>
      </c>
      <c r="CC119" s="607">
        <f t="shared" si="225"/>
        <v>0</v>
      </c>
      <c r="CD119" s="607">
        <f t="shared" si="226"/>
        <v>0</v>
      </c>
      <c r="CE119" s="607">
        <f t="shared" si="227"/>
        <v>0</v>
      </c>
      <c r="CF119" s="607">
        <f t="shared" si="228"/>
        <v>0</v>
      </c>
      <c r="CG119" s="607">
        <f t="shared" si="229"/>
        <v>0</v>
      </c>
      <c r="CH119" s="607">
        <f t="shared" si="230"/>
        <v>8000000</v>
      </c>
      <c r="CI119" s="609"/>
      <c r="CK119" s="610" t="str">
        <f t="shared" si="184"/>
        <v/>
      </c>
      <c r="CL119" s="611" t="str">
        <f>IF(CK119="","",COUNTIFS($CK$16:CK119,"Yes")+MAX(State!AD:AD))</f>
        <v/>
      </c>
      <c r="CM119" s="612" t="b">
        <f>IF(C119="", "", AND(INDEX('Summary Dynamic'!$D$8:$D$10, MATCH(H119, 'Summary Dynamic'!$C$8:$C$10, 0))="Include", INDEX('Summary Dynamic'!$D$12:$D$14, MATCH(I119, 'Summary Dynamic'!$C$12:$C$14, 0))="Include", INDEX('Summary Dynamic'!$D$16:$D$17, MATCH(J119, 'Summary Dynamic'!$C$16:$C$17, 0))="Include", INDEX('Summary Dynamic'!$D$19:$D$20, MATCH(K119, 'Summary Dynamic'!$C$19:$C$20, 0))="Include", INDEX('Summary Dynamic'!$D$25:$D$26, MATCH(L119, 'Summary Dynamic'!$C$25:$C$26, 0))="Include",'Summary Dynamic'!$D$23="Include"))</f>
        <v>1</v>
      </c>
      <c r="CN119" s="613">
        <f>IFERROR(IF(CM119=TRUE, COUNTIFS($CM$16:CM119, TRUE), ""), "")</f>
        <v>104</v>
      </c>
      <c r="CP119" s="614" t="str">
        <f t="shared" si="231"/>
        <v>Non-Rural Private</v>
      </c>
      <c r="CY119" s="615"/>
      <c r="CZ119" s="616"/>
    </row>
    <row r="120" spans="2:104" x14ac:dyDescent="0.25">
      <c r="B120" s="617">
        <f t="shared" si="173"/>
        <v>105</v>
      </c>
      <c r="C120" s="593" t="s">
        <v>822</v>
      </c>
      <c r="D120" s="594" t="s">
        <v>822</v>
      </c>
      <c r="E120" s="594" t="s">
        <v>823</v>
      </c>
      <c r="F120" s="407" t="s">
        <v>824</v>
      </c>
      <c r="G120" s="408" t="s">
        <v>516</v>
      </c>
      <c r="H120" s="408" t="s">
        <v>22</v>
      </c>
      <c r="I120" s="408" t="s">
        <v>26</v>
      </c>
      <c r="J120" s="408" t="s">
        <v>35</v>
      </c>
      <c r="K120" s="408" t="s">
        <v>35</v>
      </c>
      <c r="L120" s="408" t="s">
        <v>35</v>
      </c>
      <c r="M120" s="408" t="s">
        <v>37</v>
      </c>
      <c r="N120" s="595" t="str">
        <f t="shared" si="189"/>
        <v>No</v>
      </c>
      <c r="O120" s="596">
        <v>51930</v>
      </c>
      <c r="P120" s="596">
        <v>152605</v>
      </c>
      <c r="Q120" s="597">
        <v>0.14824225453312048</v>
      </c>
      <c r="R120" s="596">
        <f t="shared" si="174"/>
        <v>22622.509253026852</v>
      </c>
      <c r="S120" s="596">
        <f t="shared" si="175"/>
        <v>74552.509253026859</v>
      </c>
      <c r="T120" s="596">
        <f t="shared" si="190"/>
        <v>74552.509253026859</v>
      </c>
      <c r="U120" s="598">
        <f t="shared" si="176"/>
        <v>1.744173237213649E-2</v>
      </c>
      <c r="V120" s="599">
        <f t="shared" si="185"/>
        <v>0</v>
      </c>
      <c r="W120" s="600">
        <v>52721822.404341884</v>
      </c>
      <c r="X120" s="600">
        <v>0</v>
      </c>
      <c r="Y120" s="600">
        <v>9292802.2178447265</v>
      </c>
      <c r="Z120" s="600">
        <f t="shared" si="177"/>
        <v>0</v>
      </c>
      <c r="AA120" s="600">
        <f t="shared" si="178"/>
        <v>52721822.404341884</v>
      </c>
      <c r="AB120" s="601">
        <f t="shared" si="191"/>
        <v>0</v>
      </c>
      <c r="AC120" s="599">
        <v>18830469.754281923</v>
      </c>
      <c r="AD120" s="599">
        <f>MAX(IF(M120="Yes",'Assumption Inputs'!$C$40,'Assumption Inputs'!$C$41),AC120)</f>
        <v>18830469.754281923</v>
      </c>
      <c r="AE120" s="599">
        <f t="shared" si="186"/>
        <v>18830469.754281923</v>
      </c>
      <c r="AF120" s="599">
        <f t="shared" si="192"/>
        <v>0</v>
      </c>
      <c r="AG120" s="599">
        <f t="shared" si="187"/>
        <v>0</v>
      </c>
      <c r="AH120" s="599">
        <f t="shared" si="188"/>
        <v>18830469.754281923</v>
      </c>
      <c r="AI120" s="599">
        <v>193131142.73334116</v>
      </c>
      <c r="AJ120" s="599">
        <v>159239790.08328122</v>
      </c>
      <c r="AK120" s="602">
        <f t="shared" si="179"/>
        <v>0.8245163769529692</v>
      </c>
      <c r="AL120" s="603">
        <f t="shared" si="131"/>
        <v>0</v>
      </c>
      <c r="AM120" s="600">
        <f t="shared" si="180"/>
        <v>18830469.754281923</v>
      </c>
      <c r="AN120" s="600">
        <f t="shared" si="193"/>
        <v>18830469.754281923</v>
      </c>
      <c r="AO120" s="600">
        <f t="shared" si="133"/>
        <v>0</v>
      </c>
      <c r="AP120" s="600">
        <f t="shared" si="134"/>
        <v>33891352.650059961</v>
      </c>
      <c r="AQ120" s="600">
        <f t="shared" si="181"/>
        <v>0</v>
      </c>
      <c r="AR120" s="600">
        <f t="shared" si="182"/>
        <v>18830469.754281923</v>
      </c>
      <c r="AS120" s="604">
        <f t="shared" si="194"/>
        <v>0</v>
      </c>
      <c r="AT120" s="605">
        <f t="shared" si="195"/>
        <v>0</v>
      </c>
      <c r="AU120" s="600">
        <f t="shared" si="196"/>
        <v>18830469.754281923</v>
      </c>
      <c r="AV120" s="600">
        <f t="shared" si="197"/>
        <v>18830469.754281923</v>
      </c>
      <c r="AW120" s="600">
        <f t="shared" si="198"/>
        <v>0</v>
      </c>
      <c r="AX120" s="600">
        <f t="shared" si="199"/>
        <v>33891352.650059961</v>
      </c>
      <c r="AY120" s="600">
        <f t="shared" si="200"/>
        <v>6.6682903548059654E-11</v>
      </c>
      <c r="AZ120" s="600">
        <f t="shared" si="201"/>
        <v>18830469.754281923</v>
      </c>
      <c r="BA120" s="600">
        <f t="shared" si="202"/>
        <v>0</v>
      </c>
      <c r="BB120" s="600">
        <f t="shared" si="203"/>
        <v>0</v>
      </c>
      <c r="BC120" s="600">
        <f t="shared" si="204"/>
        <v>0</v>
      </c>
      <c r="BD120" s="600">
        <f t="shared" si="205"/>
        <v>0</v>
      </c>
      <c r="BE120" s="600">
        <f t="shared" si="206"/>
        <v>33891352.650059961</v>
      </c>
      <c r="BF120" s="600">
        <f t="shared" si="207"/>
        <v>18830469.754281923</v>
      </c>
      <c r="BG120" s="600">
        <v>0</v>
      </c>
      <c r="BH120" s="600">
        <v>0</v>
      </c>
      <c r="BI120" s="600">
        <f t="shared" si="208"/>
        <v>0</v>
      </c>
      <c r="BJ120" s="600">
        <f t="shared" si="209"/>
        <v>18830469.75</v>
      </c>
      <c r="BK120" s="600">
        <f t="shared" si="210"/>
        <v>6615144.0231749993</v>
      </c>
      <c r="BL120" s="600">
        <v>18830469.75</v>
      </c>
      <c r="BM120" s="600">
        <f t="shared" si="211"/>
        <v>0</v>
      </c>
      <c r="BN120" s="600">
        <f t="shared" si="212"/>
        <v>0</v>
      </c>
      <c r="BO120" s="600">
        <f t="shared" si="213"/>
        <v>0</v>
      </c>
      <c r="BP120" s="600">
        <f t="shared" si="214"/>
        <v>6615144.0231749993</v>
      </c>
      <c r="BQ120" s="600">
        <f t="shared" si="215"/>
        <v>0</v>
      </c>
      <c r="BR120" s="600">
        <f t="shared" si="216"/>
        <v>0</v>
      </c>
      <c r="BT120" s="606">
        <f t="shared" si="217"/>
        <v>1</v>
      </c>
      <c r="BU120" s="607">
        <f t="shared" si="218"/>
        <v>0</v>
      </c>
      <c r="BV120" s="606">
        <f t="shared" si="219"/>
        <v>1</v>
      </c>
      <c r="BW120" s="607">
        <f t="shared" si="220"/>
        <v>0</v>
      </c>
      <c r="BX120" s="607">
        <f t="shared" si="221"/>
        <v>0</v>
      </c>
      <c r="BY120" s="607">
        <f t="shared" si="222"/>
        <v>0</v>
      </c>
      <c r="BZ120" s="607">
        <f t="shared" si="223"/>
        <v>0</v>
      </c>
      <c r="CA120" s="607">
        <f t="shared" si="224"/>
        <v>0</v>
      </c>
      <c r="CB120" s="607">
        <f t="shared" si="183"/>
        <v>0</v>
      </c>
      <c r="CC120" s="607">
        <f t="shared" si="225"/>
        <v>0</v>
      </c>
      <c r="CD120" s="607">
        <f t="shared" si="226"/>
        <v>0</v>
      </c>
      <c r="CE120" s="607">
        <f t="shared" si="227"/>
        <v>0</v>
      </c>
      <c r="CF120" s="607">
        <f t="shared" si="228"/>
        <v>0</v>
      </c>
      <c r="CG120" s="607">
        <f t="shared" si="229"/>
        <v>0</v>
      </c>
      <c r="CH120" s="607">
        <f t="shared" si="230"/>
        <v>18830469.75</v>
      </c>
      <c r="CI120" s="609"/>
      <c r="CK120" s="610" t="str">
        <f t="shared" si="184"/>
        <v/>
      </c>
      <c r="CL120" s="611" t="str">
        <f>IF(CK120="","",COUNTIFS($CK$16:CK120,"Yes")+MAX(State!AD:AD))</f>
        <v/>
      </c>
      <c r="CM120" s="612" t="b">
        <f>IF(C120="", "", AND(INDEX('Summary Dynamic'!$D$8:$D$10, MATCH(H120, 'Summary Dynamic'!$C$8:$C$10, 0))="Include", INDEX('Summary Dynamic'!$D$12:$D$14, MATCH(I120, 'Summary Dynamic'!$C$12:$C$14, 0))="Include", INDEX('Summary Dynamic'!$D$16:$D$17, MATCH(J120, 'Summary Dynamic'!$C$16:$C$17, 0))="Include", INDEX('Summary Dynamic'!$D$19:$D$20, MATCH(K120, 'Summary Dynamic'!$C$19:$C$20, 0))="Include", INDEX('Summary Dynamic'!$D$25:$D$26, MATCH(L120, 'Summary Dynamic'!$C$25:$C$26, 0))="Include",'Summary Dynamic'!$D$23="Include"))</f>
        <v>1</v>
      </c>
      <c r="CN120" s="613">
        <f>IFERROR(IF(CM120=TRUE, COUNTIFS($CM$16:CM120, TRUE), ""), "")</f>
        <v>105</v>
      </c>
      <c r="CP120" s="614" t="str">
        <f t="shared" si="231"/>
        <v>Non-Rural Private</v>
      </c>
      <c r="CY120" s="615"/>
      <c r="CZ120" s="616"/>
    </row>
    <row r="121" spans="2:104" x14ac:dyDescent="0.25">
      <c r="B121" s="617">
        <f t="shared" si="173"/>
        <v>106</v>
      </c>
      <c r="C121" s="593" t="s">
        <v>825</v>
      </c>
      <c r="D121" s="594" t="s">
        <v>825</v>
      </c>
      <c r="E121" s="594" t="s">
        <v>826</v>
      </c>
      <c r="F121" s="407" t="s">
        <v>827</v>
      </c>
      <c r="G121" s="408" t="s">
        <v>542</v>
      </c>
      <c r="H121" s="408" t="s">
        <v>22</v>
      </c>
      <c r="I121" s="408" t="s">
        <v>26</v>
      </c>
      <c r="J121" s="408" t="s">
        <v>35</v>
      </c>
      <c r="K121" s="408" t="s">
        <v>35</v>
      </c>
      <c r="L121" s="408" t="s">
        <v>35</v>
      </c>
      <c r="M121" s="408" t="s">
        <v>37</v>
      </c>
      <c r="N121" s="595" t="str">
        <f t="shared" si="189"/>
        <v>No</v>
      </c>
      <c r="O121" s="596">
        <v>15695</v>
      </c>
      <c r="P121" s="596">
        <v>79813</v>
      </c>
      <c r="Q121" s="597">
        <v>0.23896570295296035</v>
      </c>
      <c r="R121" s="596">
        <f t="shared" si="174"/>
        <v>19072.569649784626</v>
      </c>
      <c r="S121" s="596">
        <f t="shared" si="175"/>
        <v>34767.569649784622</v>
      </c>
      <c r="T121" s="596">
        <f t="shared" si="190"/>
        <v>34767.569649784622</v>
      </c>
      <c r="U121" s="598">
        <f t="shared" si="176"/>
        <v>8.1339535199687219E-3</v>
      </c>
      <c r="V121" s="599">
        <f t="shared" si="185"/>
        <v>0</v>
      </c>
      <c r="W121" s="600">
        <v>15038369.602483697</v>
      </c>
      <c r="X121" s="600">
        <v>0</v>
      </c>
      <c r="Y121" s="600">
        <v>5403702.8321407475</v>
      </c>
      <c r="Z121" s="600">
        <f t="shared" si="177"/>
        <v>0</v>
      </c>
      <c r="AA121" s="600">
        <f t="shared" si="178"/>
        <v>15038369.602483697</v>
      </c>
      <c r="AB121" s="601">
        <f t="shared" si="191"/>
        <v>0</v>
      </c>
      <c r="AC121" s="599">
        <v>0</v>
      </c>
      <c r="AD121" s="599">
        <f>MAX(IF(M121="Yes",'Assumption Inputs'!$C$40,'Assumption Inputs'!$C$41),AC121)</f>
        <v>8000000</v>
      </c>
      <c r="AE121" s="599">
        <f t="shared" si="186"/>
        <v>8000000</v>
      </c>
      <c r="AF121" s="599">
        <f t="shared" si="192"/>
        <v>0</v>
      </c>
      <c r="AG121" s="599">
        <f t="shared" si="187"/>
        <v>0</v>
      </c>
      <c r="AH121" s="599">
        <f t="shared" si="188"/>
        <v>8000000</v>
      </c>
      <c r="AI121" s="599">
        <v>72142269.077665329</v>
      </c>
      <c r="AJ121" s="599">
        <v>65103899.475181639</v>
      </c>
      <c r="AK121" s="602">
        <f t="shared" si="179"/>
        <v>0.90243764588404507</v>
      </c>
      <c r="AL121" s="603">
        <f t="shared" si="131"/>
        <v>0</v>
      </c>
      <c r="AM121" s="600">
        <f t="shared" si="180"/>
        <v>8000000</v>
      </c>
      <c r="AN121" s="600">
        <f t="shared" si="193"/>
        <v>8000000</v>
      </c>
      <c r="AO121" s="600">
        <f t="shared" si="133"/>
        <v>0</v>
      </c>
      <c r="AP121" s="600">
        <f t="shared" si="134"/>
        <v>7038369.6024836972</v>
      </c>
      <c r="AQ121" s="600">
        <f t="shared" si="181"/>
        <v>0</v>
      </c>
      <c r="AR121" s="600">
        <f t="shared" si="182"/>
        <v>8000000</v>
      </c>
      <c r="AS121" s="604">
        <f t="shared" si="194"/>
        <v>0</v>
      </c>
      <c r="AT121" s="605">
        <f t="shared" si="195"/>
        <v>0</v>
      </c>
      <c r="AU121" s="600">
        <f t="shared" si="196"/>
        <v>8000000</v>
      </c>
      <c r="AV121" s="600">
        <f t="shared" si="197"/>
        <v>8000000</v>
      </c>
      <c r="AW121" s="600">
        <f t="shared" si="198"/>
        <v>0</v>
      </c>
      <c r="AX121" s="600">
        <f t="shared" si="199"/>
        <v>7038369.6024836972</v>
      </c>
      <c r="AY121" s="600">
        <f t="shared" si="200"/>
        <v>1.3848338429690414E-11</v>
      </c>
      <c r="AZ121" s="600">
        <f t="shared" si="201"/>
        <v>8000000</v>
      </c>
      <c r="BA121" s="600">
        <f t="shared" si="202"/>
        <v>0</v>
      </c>
      <c r="BB121" s="600">
        <f t="shared" si="203"/>
        <v>0</v>
      </c>
      <c r="BC121" s="600">
        <f t="shared" si="204"/>
        <v>0</v>
      </c>
      <c r="BD121" s="600">
        <f t="shared" si="205"/>
        <v>0</v>
      </c>
      <c r="BE121" s="600">
        <f t="shared" si="206"/>
        <v>7038369.6024836972</v>
      </c>
      <c r="BF121" s="600">
        <f t="shared" si="207"/>
        <v>8000000</v>
      </c>
      <c r="BG121" s="600">
        <v>0</v>
      </c>
      <c r="BH121" s="600">
        <v>0</v>
      </c>
      <c r="BI121" s="600">
        <f t="shared" si="208"/>
        <v>0</v>
      </c>
      <c r="BJ121" s="600">
        <f t="shared" si="209"/>
        <v>8000000</v>
      </c>
      <c r="BK121" s="600">
        <f t="shared" si="210"/>
        <v>2810399.9999999995</v>
      </c>
      <c r="BL121" s="600">
        <v>8000000</v>
      </c>
      <c r="BM121" s="600">
        <f t="shared" si="211"/>
        <v>0</v>
      </c>
      <c r="BN121" s="600">
        <f t="shared" si="212"/>
        <v>0</v>
      </c>
      <c r="BO121" s="600">
        <f t="shared" si="213"/>
        <v>0</v>
      </c>
      <c r="BP121" s="600">
        <f t="shared" si="214"/>
        <v>2810399.9999999995</v>
      </c>
      <c r="BQ121" s="600">
        <f t="shared" si="215"/>
        <v>0</v>
      </c>
      <c r="BR121" s="600">
        <f t="shared" si="216"/>
        <v>0</v>
      </c>
      <c r="BT121" s="606">
        <f t="shared" si="217"/>
        <v>1</v>
      </c>
      <c r="BU121" s="607">
        <f t="shared" si="218"/>
        <v>0</v>
      </c>
      <c r="BV121" s="606">
        <f t="shared" si="219"/>
        <v>1</v>
      </c>
      <c r="BW121" s="607">
        <f t="shared" si="220"/>
        <v>0</v>
      </c>
      <c r="BX121" s="607">
        <f t="shared" si="221"/>
        <v>0</v>
      </c>
      <c r="BY121" s="607">
        <f t="shared" si="222"/>
        <v>0</v>
      </c>
      <c r="BZ121" s="607">
        <f t="shared" si="223"/>
        <v>0</v>
      </c>
      <c r="CA121" s="607">
        <f t="shared" si="224"/>
        <v>0</v>
      </c>
      <c r="CB121" s="607">
        <f t="shared" si="183"/>
        <v>0</v>
      </c>
      <c r="CC121" s="607">
        <f t="shared" si="225"/>
        <v>0</v>
      </c>
      <c r="CD121" s="607">
        <f t="shared" si="226"/>
        <v>0</v>
      </c>
      <c r="CE121" s="607">
        <f t="shared" si="227"/>
        <v>0</v>
      </c>
      <c r="CF121" s="607">
        <f t="shared" si="228"/>
        <v>0</v>
      </c>
      <c r="CG121" s="607">
        <f t="shared" si="229"/>
        <v>0</v>
      </c>
      <c r="CH121" s="607">
        <f t="shared" si="230"/>
        <v>8000000</v>
      </c>
      <c r="CI121" s="609"/>
      <c r="CK121" s="610" t="str">
        <f t="shared" si="184"/>
        <v/>
      </c>
      <c r="CL121" s="611" t="str">
        <f>IF(CK121="","",COUNTIFS($CK$16:CK121,"Yes")+MAX(State!AD:AD))</f>
        <v/>
      </c>
      <c r="CM121" s="612" t="b">
        <f>IF(C121="", "", AND(INDEX('Summary Dynamic'!$D$8:$D$10, MATCH(H121, 'Summary Dynamic'!$C$8:$C$10, 0))="Include", INDEX('Summary Dynamic'!$D$12:$D$14, MATCH(I121, 'Summary Dynamic'!$C$12:$C$14, 0))="Include", INDEX('Summary Dynamic'!$D$16:$D$17, MATCH(J121, 'Summary Dynamic'!$C$16:$C$17, 0))="Include", INDEX('Summary Dynamic'!$D$19:$D$20, MATCH(K121, 'Summary Dynamic'!$C$19:$C$20, 0))="Include", INDEX('Summary Dynamic'!$D$25:$D$26, MATCH(L121, 'Summary Dynamic'!$C$25:$C$26, 0))="Include",'Summary Dynamic'!$D$23="Include"))</f>
        <v>1</v>
      </c>
      <c r="CN121" s="613">
        <f>IFERROR(IF(CM121=TRUE, COUNTIFS($CM$16:CM121, TRUE), ""), "")</f>
        <v>106</v>
      </c>
      <c r="CP121" s="614" t="str">
        <f t="shared" si="231"/>
        <v>Non-Rural Private</v>
      </c>
      <c r="CY121" s="615"/>
      <c r="CZ121" s="616"/>
    </row>
    <row r="122" spans="2:104" x14ac:dyDescent="0.25">
      <c r="B122" s="617">
        <f t="shared" si="173"/>
        <v>107</v>
      </c>
      <c r="C122" s="593" t="s">
        <v>828</v>
      </c>
      <c r="D122" s="594" t="s">
        <v>828</v>
      </c>
      <c r="E122" s="594" t="s">
        <v>829</v>
      </c>
      <c r="F122" s="407" t="s">
        <v>830</v>
      </c>
      <c r="G122" s="408" t="s">
        <v>831</v>
      </c>
      <c r="H122" s="408" t="s">
        <v>22</v>
      </c>
      <c r="I122" s="408" t="s">
        <v>26</v>
      </c>
      <c r="J122" s="408" t="s">
        <v>31</v>
      </c>
      <c r="K122" s="408" t="s">
        <v>35</v>
      </c>
      <c r="L122" s="408" t="s">
        <v>35</v>
      </c>
      <c r="M122" s="408" t="s">
        <v>35</v>
      </c>
      <c r="N122" s="595" t="str">
        <f t="shared" si="189"/>
        <v>No</v>
      </c>
      <c r="O122" s="596">
        <v>5272</v>
      </c>
      <c r="P122" s="596">
        <v>37563</v>
      </c>
      <c r="Q122" s="597">
        <v>0.1275919442535193</v>
      </c>
      <c r="R122" s="596">
        <f t="shared" si="174"/>
        <v>4792.7362019949451</v>
      </c>
      <c r="S122" s="596">
        <f t="shared" si="175"/>
        <v>10064.736201994945</v>
      </c>
      <c r="T122" s="596">
        <f t="shared" si="190"/>
        <v>10064.736201994945</v>
      </c>
      <c r="U122" s="598">
        <f t="shared" si="176"/>
        <v>2.3546683671713175E-3</v>
      </c>
      <c r="V122" s="599">
        <f t="shared" si="185"/>
        <v>0</v>
      </c>
      <c r="W122" s="600">
        <v>2253190.265280575</v>
      </c>
      <c r="X122" s="600">
        <v>0</v>
      </c>
      <c r="Y122" s="600">
        <v>3103350.6986670541</v>
      </c>
      <c r="Z122" s="600">
        <f t="shared" si="177"/>
        <v>0</v>
      </c>
      <c r="AA122" s="600">
        <f t="shared" si="178"/>
        <v>2253190.265280575</v>
      </c>
      <c r="AB122" s="601">
        <f t="shared" si="191"/>
        <v>0</v>
      </c>
      <c r="AC122" s="599">
        <v>0</v>
      </c>
      <c r="AD122" s="599">
        <f>MAX(IF(M122="Yes",'Assumption Inputs'!$C$40,'Assumption Inputs'!$C$41),AC122)</f>
        <v>6000000</v>
      </c>
      <c r="AE122" s="599">
        <f t="shared" si="186"/>
        <v>1461644.5250875093</v>
      </c>
      <c r="AF122" s="599">
        <f t="shared" si="192"/>
        <v>0</v>
      </c>
      <c r="AG122" s="599">
        <f t="shared" si="187"/>
        <v>0</v>
      </c>
      <c r="AH122" s="599">
        <f t="shared" si="188"/>
        <v>1461644.5250875093</v>
      </c>
      <c r="AI122" s="599">
        <v>33459682.141792767</v>
      </c>
      <c r="AJ122" s="599">
        <v>32668136.401599705</v>
      </c>
      <c r="AK122" s="602">
        <f t="shared" si="179"/>
        <v>0.9763432976787193</v>
      </c>
      <c r="AL122" s="603">
        <f t="shared" si="131"/>
        <v>0</v>
      </c>
      <c r="AM122" s="600">
        <f t="shared" si="180"/>
        <v>1461644.5250875093</v>
      </c>
      <c r="AN122" s="600">
        <f t="shared" si="193"/>
        <v>1461644.5250875093</v>
      </c>
      <c r="AO122" s="600">
        <f t="shared" si="133"/>
        <v>0</v>
      </c>
      <c r="AP122" s="600">
        <f t="shared" si="134"/>
        <v>791545.74019306572</v>
      </c>
      <c r="AQ122" s="600">
        <f t="shared" si="181"/>
        <v>0</v>
      </c>
      <c r="AR122" s="600">
        <f t="shared" si="182"/>
        <v>1461644.5250875093</v>
      </c>
      <c r="AS122" s="604">
        <f t="shared" si="194"/>
        <v>0</v>
      </c>
      <c r="AT122" s="605">
        <f t="shared" si="195"/>
        <v>0</v>
      </c>
      <c r="AU122" s="600">
        <f t="shared" si="196"/>
        <v>1461644.5250875093</v>
      </c>
      <c r="AV122" s="600">
        <f t="shared" si="197"/>
        <v>1461644.5250875093</v>
      </c>
      <c r="AW122" s="600">
        <f t="shared" si="198"/>
        <v>0</v>
      </c>
      <c r="AX122" s="600">
        <f t="shared" si="199"/>
        <v>791545.74019306572</v>
      </c>
      <c r="AY122" s="600">
        <f t="shared" si="200"/>
        <v>1.5574051821469071E-12</v>
      </c>
      <c r="AZ122" s="600">
        <f t="shared" si="201"/>
        <v>1461644.5250875093</v>
      </c>
      <c r="BA122" s="600">
        <f t="shared" si="202"/>
        <v>0</v>
      </c>
      <c r="BB122" s="600">
        <f t="shared" si="203"/>
        <v>0</v>
      </c>
      <c r="BC122" s="600">
        <f t="shared" si="204"/>
        <v>0</v>
      </c>
      <c r="BD122" s="600">
        <f t="shared" si="205"/>
        <v>0</v>
      </c>
      <c r="BE122" s="600">
        <f t="shared" si="206"/>
        <v>791545.74019306572</v>
      </c>
      <c r="BF122" s="600">
        <f t="shared" si="207"/>
        <v>1461644.5250875093</v>
      </c>
      <c r="BG122" s="600">
        <v>0</v>
      </c>
      <c r="BH122" s="600">
        <v>0</v>
      </c>
      <c r="BI122" s="600">
        <f t="shared" si="208"/>
        <v>0</v>
      </c>
      <c r="BJ122" s="600">
        <f t="shared" si="209"/>
        <v>1461644.53</v>
      </c>
      <c r="BK122" s="600">
        <f t="shared" si="210"/>
        <v>513475.72338899993</v>
      </c>
      <c r="BL122" s="600">
        <v>1461644.53</v>
      </c>
      <c r="BM122" s="600">
        <f t="shared" si="211"/>
        <v>0</v>
      </c>
      <c r="BN122" s="600">
        <f t="shared" si="212"/>
        <v>0</v>
      </c>
      <c r="BO122" s="600">
        <f t="shared" si="213"/>
        <v>0</v>
      </c>
      <c r="BP122" s="600">
        <f t="shared" si="214"/>
        <v>513475.72338899993</v>
      </c>
      <c r="BQ122" s="600">
        <f t="shared" si="215"/>
        <v>0</v>
      </c>
      <c r="BR122" s="600">
        <f t="shared" si="216"/>
        <v>0</v>
      </c>
      <c r="BT122" s="606">
        <f t="shared" si="217"/>
        <v>1</v>
      </c>
      <c r="BU122" s="607">
        <f t="shared" si="218"/>
        <v>0</v>
      </c>
      <c r="BV122" s="606">
        <f t="shared" si="219"/>
        <v>1.0200270518699863</v>
      </c>
      <c r="BW122" s="607">
        <f t="shared" si="220"/>
        <v>0</v>
      </c>
      <c r="BX122" s="607">
        <f t="shared" si="221"/>
        <v>0</v>
      </c>
      <c r="BY122" s="607">
        <f t="shared" si="222"/>
        <v>0</v>
      </c>
      <c r="BZ122" s="607">
        <f t="shared" si="223"/>
        <v>0</v>
      </c>
      <c r="CA122" s="607">
        <f t="shared" si="224"/>
        <v>0</v>
      </c>
      <c r="CB122" s="607">
        <f t="shared" si="183"/>
        <v>0</v>
      </c>
      <c r="CC122" s="607">
        <f t="shared" si="225"/>
        <v>278070.01852982392</v>
      </c>
      <c r="CD122" s="607">
        <f t="shared" si="226"/>
        <v>791545.74019306572</v>
      </c>
      <c r="CE122" s="607">
        <f t="shared" si="227"/>
        <v>791545.74019306561</v>
      </c>
      <c r="CF122" s="607">
        <f t="shared" si="228"/>
        <v>381503.65</v>
      </c>
      <c r="CG122" s="607">
        <f t="shared" si="229"/>
        <v>0</v>
      </c>
      <c r="CH122" s="607">
        <f t="shared" si="230"/>
        <v>1843148.1800000002</v>
      </c>
      <c r="CI122" s="609"/>
      <c r="CK122" s="610" t="str">
        <f t="shared" si="184"/>
        <v/>
      </c>
      <c r="CL122" s="611" t="str">
        <f>IF(CK122="","",COUNTIFS($CK$16:CK122,"Yes")+MAX(State!AD:AD))</f>
        <v/>
      </c>
      <c r="CM122" s="612" t="b">
        <f>IF(C122="", "", AND(INDEX('Summary Dynamic'!$D$8:$D$10, MATCH(H122, 'Summary Dynamic'!$C$8:$C$10, 0))="Include", INDEX('Summary Dynamic'!$D$12:$D$14, MATCH(I122, 'Summary Dynamic'!$C$12:$C$14, 0))="Include", INDEX('Summary Dynamic'!$D$16:$D$17, MATCH(J122, 'Summary Dynamic'!$C$16:$C$17, 0))="Include", INDEX('Summary Dynamic'!$D$19:$D$20, MATCH(K122, 'Summary Dynamic'!$C$19:$C$20, 0))="Include", INDEX('Summary Dynamic'!$D$25:$D$26, MATCH(L122, 'Summary Dynamic'!$C$25:$C$26, 0))="Include",'Summary Dynamic'!$D$23="Include"))</f>
        <v>1</v>
      </c>
      <c r="CN122" s="613">
        <f>IFERROR(IF(CM122=TRUE, COUNTIFS($CM$16:CM122, TRUE), ""), "")</f>
        <v>107</v>
      </c>
      <c r="CP122" s="614" t="str">
        <f t="shared" si="231"/>
        <v>Rural Private</v>
      </c>
      <c r="CY122" s="615"/>
      <c r="CZ122" s="616"/>
    </row>
    <row r="123" spans="2:104" x14ac:dyDescent="0.25">
      <c r="B123" s="617">
        <f t="shared" si="173"/>
        <v>108</v>
      </c>
      <c r="C123" s="593" t="s">
        <v>832</v>
      </c>
      <c r="D123" s="594" t="s">
        <v>832</v>
      </c>
      <c r="E123" s="594" t="s">
        <v>833</v>
      </c>
      <c r="F123" s="407" t="s">
        <v>834</v>
      </c>
      <c r="G123" s="408" t="s">
        <v>532</v>
      </c>
      <c r="H123" s="408" t="s">
        <v>22</v>
      </c>
      <c r="I123" s="408" t="s">
        <v>26</v>
      </c>
      <c r="J123" s="408" t="s">
        <v>35</v>
      </c>
      <c r="K123" s="408" t="s">
        <v>35</v>
      </c>
      <c r="L123" s="408" t="s">
        <v>35</v>
      </c>
      <c r="M123" s="408" t="s">
        <v>35</v>
      </c>
      <c r="N123" s="595" t="str">
        <f t="shared" si="189"/>
        <v>No</v>
      </c>
      <c r="O123" s="596">
        <v>6056.8145833333401</v>
      </c>
      <c r="P123" s="596">
        <v>35238</v>
      </c>
      <c r="Q123" s="597">
        <v>0.142518230605199</v>
      </c>
      <c r="R123" s="596">
        <f t="shared" si="174"/>
        <v>5022.0574100660024</v>
      </c>
      <c r="S123" s="596">
        <f t="shared" si="175"/>
        <v>11078.871993399342</v>
      </c>
      <c r="T123" s="596">
        <f t="shared" si="190"/>
        <v>11078.871993399342</v>
      </c>
      <c r="U123" s="598">
        <f t="shared" si="176"/>
        <v>2.5919277866047708E-3</v>
      </c>
      <c r="V123" s="599">
        <f t="shared" si="185"/>
        <v>0</v>
      </c>
      <c r="W123" s="600">
        <v>13023494.772915671</v>
      </c>
      <c r="X123" s="600">
        <v>0</v>
      </c>
      <c r="Y123" s="600">
        <v>10162925.979412708</v>
      </c>
      <c r="Z123" s="600">
        <f t="shared" si="177"/>
        <v>0</v>
      </c>
      <c r="AA123" s="600">
        <f t="shared" si="178"/>
        <v>13023494.772915671</v>
      </c>
      <c r="AB123" s="601">
        <f t="shared" si="191"/>
        <v>0</v>
      </c>
      <c r="AC123" s="599">
        <v>1269614.3575460282</v>
      </c>
      <c r="AD123" s="599">
        <f>MAX(IF(M123="Yes",'Assumption Inputs'!$C$40,'Assumption Inputs'!$C$41),AC123)</f>
        <v>6000000</v>
      </c>
      <c r="AE123" s="599">
        <f t="shared" si="186"/>
        <v>6000000</v>
      </c>
      <c r="AF123" s="599">
        <f t="shared" si="192"/>
        <v>0</v>
      </c>
      <c r="AG123" s="599">
        <f t="shared" si="187"/>
        <v>0</v>
      </c>
      <c r="AH123" s="599">
        <f t="shared" si="188"/>
        <v>6000000</v>
      </c>
      <c r="AI123" s="599">
        <v>32777557.694640685</v>
      </c>
      <c r="AJ123" s="599">
        <v>25754062.921725012</v>
      </c>
      <c r="AK123" s="602">
        <f t="shared" si="179"/>
        <v>0.78572244953857395</v>
      </c>
      <c r="AL123" s="603">
        <f t="shared" si="131"/>
        <v>0</v>
      </c>
      <c r="AM123" s="600">
        <f t="shared" si="180"/>
        <v>6000000</v>
      </c>
      <c r="AN123" s="600">
        <f t="shared" si="193"/>
        <v>6000000</v>
      </c>
      <c r="AO123" s="600">
        <f t="shared" si="133"/>
        <v>0</v>
      </c>
      <c r="AP123" s="600">
        <f t="shared" si="134"/>
        <v>7023494.7729156706</v>
      </c>
      <c r="AQ123" s="600">
        <f t="shared" si="181"/>
        <v>0</v>
      </c>
      <c r="AR123" s="600">
        <f t="shared" si="182"/>
        <v>6000000</v>
      </c>
      <c r="AS123" s="604">
        <f t="shared" si="194"/>
        <v>0</v>
      </c>
      <c r="AT123" s="605">
        <f t="shared" si="195"/>
        <v>0</v>
      </c>
      <c r="AU123" s="600">
        <f t="shared" si="196"/>
        <v>6000000</v>
      </c>
      <c r="AV123" s="600">
        <f t="shared" si="197"/>
        <v>6000000</v>
      </c>
      <c r="AW123" s="600">
        <f t="shared" si="198"/>
        <v>0</v>
      </c>
      <c r="AX123" s="600">
        <f t="shared" si="199"/>
        <v>7023494.7729156706</v>
      </c>
      <c r="AY123" s="600">
        <f t="shared" si="200"/>
        <v>1.3819071470781448E-11</v>
      </c>
      <c r="AZ123" s="600">
        <f t="shared" si="201"/>
        <v>6000000</v>
      </c>
      <c r="BA123" s="600">
        <f t="shared" si="202"/>
        <v>0</v>
      </c>
      <c r="BB123" s="600">
        <f t="shared" si="203"/>
        <v>0</v>
      </c>
      <c r="BC123" s="600">
        <f t="shared" si="204"/>
        <v>0</v>
      </c>
      <c r="BD123" s="600">
        <f t="shared" si="205"/>
        <v>0</v>
      </c>
      <c r="BE123" s="600">
        <f t="shared" si="206"/>
        <v>7023494.7729156706</v>
      </c>
      <c r="BF123" s="600">
        <f t="shared" si="207"/>
        <v>6000000</v>
      </c>
      <c r="BG123" s="600">
        <v>0</v>
      </c>
      <c r="BH123" s="600">
        <v>0</v>
      </c>
      <c r="BI123" s="600">
        <f t="shared" si="208"/>
        <v>0</v>
      </c>
      <c r="BJ123" s="600">
        <f t="shared" si="209"/>
        <v>6000000</v>
      </c>
      <c r="BK123" s="600">
        <f t="shared" si="210"/>
        <v>2107799.9999999995</v>
      </c>
      <c r="BL123" s="600">
        <v>6000000</v>
      </c>
      <c r="BM123" s="600">
        <f t="shared" si="211"/>
        <v>0</v>
      </c>
      <c r="BN123" s="600">
        <f t="shared" si="212"/>
        <v>0</v>
      </c>
      <c r="BO123" s="600">
        <f t="shared" si="213"/>
        <v>0</v>
      </c>
      <c r="BP123" s="600">
        <f t="shared" si="214"/>
        <v>2107799.9999999995</v>
      </c>
      <c r="BQ123" s="600">
        <f t="shared" si="215"/>
        <v>0</v>
      </c>
      <c r="BR123" s="600">
        <f t="shared" si="216"/>
        <v>0</v>
      </c>
      <c r="BT123" s="606">
        <f t="shared" si="217"/>
        <v>1</v>
      </c>
      <c r="BU123" s="607">
        <f t="shared" si="218"/>
        <v>0</v>
      </c>
      <c r="BV123" s="606">
        <f t="shared" si="219"/>
        <v>1</v>
      </c>
      <c r="BW123" s="607">
        <f t="shared" si="220"/>
        <v>0</v>
      </c>
      <c r="BX123" s="607">
        <f t="shared" si="221"/>
        <v>0</v>
      </c>
      <c r="BY123" s="607">
        <f t="shared" si="222"/>
        <v>0</v>
      </c>
      <c r="BZ123" s="607">
        <f t="shared" si="223"/>
        <v>0</v>
      </c>
      <c r="CA123" s="607">
        <f t="shared" si="224"/>
        <v>0</v>
      </c>
      <c r="CB123" s="607">
        <f t="shared" si="183"/>
        <v>0</v>
      </c>
      <c r="CC123" s="607">
        <f t="shared" si="225"/>
        <v>0</v>
      </c>
      <c r="CD123" s="607">
        <f t="shared" si="226"/>
        <v>0</v>
      </c>
      <c r="CE123" s="607">
        <f t="shared" si="227"/>
        <v>0</v>
      </c>
      <c r="CF123" s="607">
        <f t="shared" si="228"/>
        <v>0</v>
      </c>
      <c r="CG123" s="607">
        <f t="shared" si="229"/>
        <v>0</v>
      </c>
      <c r="CH123" s="607">
        <f t="shared" si="230"/>
        <v>6000000</v>
      </c>
      <c r="CI123" s="609"/>
      <c r="CK123" s="610" t="str">
        <f t="shared" si="184"/>
        <v/>
      </c>
      <c r="CL123" s="611" t="str">
        <f>IF(CK123="","",COUNTIFS($CK$16:CK123,"Yes")+MAX(State!AD:AD))</f>
        <v/>
      </c>
      <c r="CM123" s="612" t="b">
        <f>IF(C123="", "", AND(INDEX('Summary Dynamic'!$D$8:$D$10, MATCH(H123, 'Summary Dynamic'!$C$8:$C$10, 0))="Include", INDEX('Summary Dynamic'!$D$12:$D$14, MATCH(I123, 'Summary Dynamic'!$C$12:$C$14, 0))="Include", INDEX('Summary Dynamic'!$D$16:$D$17, MATCH(J123, 'Summary Dynamic'!$C$16:$C$17, 0))="Include", INDEX('Summary Dynamic'!$D$19:$D$20, MATCH(K123, 'Summary Dynamic'!$C$19:$C$20, 0))="Include", INDEX('Summary Dynamic'!$D$25:$D$26, MATCH(L123, 'Summary Dynamic'!$C$25:$C$26, 0))="Include",'Summary Dynamic'!$D$23="Include"))</f>
        <v>1</v>
      </c>
      <c r="CN123" s="613">
        <f>IFERROR(IF(CM123=TRUE, COUNTIFS($CM$16:CM123, TRUE), ""), "")</f>
        <v>108</v>
      </c>
      <c r="CP123" s="614" t="str">
        <f t="shared" si="231"/>
        <v>Non-Rural Private</v>
      </c>
      <c r="CY123" s="615"/>
      <c r="CZ123" s="616"/>
    </row>
    <row r="124" spans="2:104" x14ac:dyDescent="0.25">
      <c r="B124" s="617">
        <f t="shared" si="173"/>
        <v>109</v>
      </c>
      <c r="C124" s="593" t="s">
        <v>835</v>
      </c>
      <c r="D124" s="594" t="s">
        <v>835</v>
      </c>
      <c r="E124" s="594" t="s">
        <v>836</v>
      </c>
      <c r="F124" s="407" t="s">
        <v>837</v>
      </c>
      <c r="G124" s="408" t="s">
        <v>282</v>
      </c>
      <c r="H124" s="408" t="s">
        <v>22</v>
      </c>
      <c r="I124" s="408" t="s">
        <v>26</v>
      </c>
      <c r="J124" s="408" t="s">
        <v>35</v>
      </c>
      <c r="K124" s="408" t="s">
        <v>35</v>
      </c>
      <c r="L124" s="408" t="s">
        <v>37</v>
      </c>
      <c r="M124" s="408" t="s">
        <v>35</v>
      </c>
      <c r="N124" s="595" t="str">
        <f t="shared" si="189"/>
        <v>No</v>
      </c>
      <c r="O124" s="596">
        <v>14967</v>
      </c>
      <c r="P124" s="596">
        <v>30347</v>
      </c>
      <c r="Q124" s="597">
        <v>0.58849989417674542</v>
      </c>
      <c r="R124" s="596">
        <f t="shared" si="174"/>
        <v>17859.206288581692</v>
      </c>
      <c r="S124" s="596">
        <f t="shared" si="175"/>
        <v>32826.206288581692</v>
      </c>
      <c r="T124" s="596">
        <f t="shared" si="190"/>
        <v>32826.206288581692</v>
      </c>
      <c r="U124" s="598">
        <f t="shared" si="176"/>
        <v>7.6797670610226996E-3</v>
      </c>
      <c r="V124" s="599">
        <f t="shared" si="185"/>
        <v>0</v>
      </c>
      <c r="W124" s="600">
        <v>1092202.2682554228</v>
      </c>
      <c r="X124" s="600">
        <v>0</v>
      </c>
      <c r="Y124" s="600">
        <v>4038.230214571915</v>
      </c>
      <c r="Z124" s="600">
        <f t="shared" si="177"/>
        <v>0</v>
      </c>
      <c r="AA124" s="600">
        <f t="shared" si="178"/>
        <v>1092202.2682554228</v>
      </c>
      <c r="AB124" s="601">
        <f t="shared" si="191"/>
        <v>0</v>
      </c>
      <c r="AC124" s="599">
        <v>0</v>
      </c>
      <c r="AD124" s="599">
        <f>MAX(IF(M124="Yes",'Assumption Inputs'!$C$40,'Assumption Inputs'!$C$41),AC124)</f>
        <v>6000000</v>
      </c>
      <c r="AE124" s="599">
        <f t="shared" si="186"/>
        <v>708511.61141729285</v>
      </c>
      <c r="AF124" s="599">
        <f t="shared" si="192"/>
        <v>0</v>
      </c>
      <c r="AG124" s="599">
        <f t="shared" si="187"/>
        <v>0</v>
      </c>
      <c r="AH124" s="599">
        <f t="shared" si="188"/>
        <v>708511.61141729285</v>
      </c>
      <c r="AI124" s="599">
        <v>13515976.505125146</v>
      </c>
      <c r="AJ124" s="599">
        <v>13132285.848287016</v>
      </c>
      <c r="AK124" s="602">
        <f t="shared" si="179"/>
        <v>0.97161206541808964</v>
      </c>
      <c r="AL124" s="603">
        <f t="shared" si="131"/>
        <v>0</v>
      </c>
      <c r="AM124" s="600">
        <f t="shared" si="180"/>
        <v>708511.61141729285</v>
      </c>
      <c r="AN124" s="600">
        <f t="shared" si="193"/>
        <v>708511.61141729285</v>
      </c>
      <c r="AO124" s="600">
        <f t="shared" si="133"/>
        <v>0</v>
      </c>
      <c r="AP124" s="600">
        <f t="shared" si="134"/>
        <v>383690.65683812997</v>
      </c>
      <c r="AQ124" s="600">
        <f t="shared" si="181"/>
        <v>0</v>
      </c>
      <c r="AR124" s="600">
        <f t="shared" si="182"/>
        <v>708511.61141729285</v>
      </c>
      <c r="AS124" s="604">
        <f t="shared" si="194"/>
        <v>0</v>
      </c>
      <c r="AT124" s="605">
        <f t="shared" si="195"/>
        <v>0</v>
      </c>
      <c r="AU124" s="600">
        <f t="shared" si="196"/>
        <v>708511.61141729285</v>
      </c>
      <c r="AV124" s="600">
        <f t="shared" si="197"/>
        <v>708511.61141729285</v>
      </c>
      <c r="AW124" s="600">
        <f t="shared" si="198"/>
        <v>0</v>
      </c>
      <c r="AX124" s="600">
        <f t="shared" si="199"/>
        <v>383690.65683812997</v>
      </c>
      <c r="AY124" s="600">
        <f t="shared" si="200"/>
        <v>7.5493024213016815E-13</v>
      </c>
      <c r="AZ124" s="600">
        <f t="shared" si="201"/>
        <v>708511.61141729285</v>
      </c>
      <c r="BA124" s="600">
        <f t="shared" si="202"/>
        <v>0</v>
      </c>
      <c r="BB124" s="600">
        <f t="shared" si="203"/>
        <v>0</v>
      </c>
      <c r="BC124" s="600">
        <f t="shared" si="204"/>
        <v>0</v>
      </c>
      <c r="BD124" s="600">
        <f t="shared" si="205"/>
        <v>0</v>
      </c>
      <c r="BE124" s="600">
        <f t="shared" si="206"/>
        <v>383690.65683812997</v>
      </c>
      <c r="BF124" s="600">
        <f t="shared" si="207"/>
        <v>708511.61141729285</v>
      </c>
      <c r="BG124" s="600">
        <v>0</v>
      </c>
      <c r="BH124" s="600">
        <v>0</v>
      </c>
      <c r="BI124" s="600">
        <f t="shared" si="208"/>
        <v>0</v>
      </c>
      <c r="BJ124" s="600">
        <f t="shared" si="209"/>
        <v>708511.61</v>
      </c>
      <c r="BK124" s="600">
        <f t="shared" si="210"/>
        <v>248900.12859299994</v>
      </c>
      <c r="BL124" s="600">
        <v>708511.61</v>
      </c>
      <c r="BM124" s="600">
        <f t="shared" si="211"/>
        <v>0</v>
      </c>
      <c r="BN124" s="600">
        <f t="shared" si="212"/>
        <v>0</v>
      </c>
      <c r="BO124" s="600">
        <f t="shared" si="213"/>
        <v>0</v>
      </c>
      <c r="BP124" s="600">
        <f t="shared" si="214"/>
        <v>248900.12859299994</v>
      </c>
      <c r="BQ124" s="600">
        <f t="shared" si="215"/>
        <v>0</v>
      </c>
      <c r="BR124" s="600">
        <f t="shared" si="216"/>
        <v>0</v>
      </c>
      <c r="BT124" s="606">
        <f t="shared" si="217"/>
        <v>1</v>
      </c>
      <c r="BU124" s="607">
        <f t="shared" si="218"/>
        <v>0</v>
      </c>
      <c r="BV124" s="606">
        <f t="shared" si="219"/>
        <v>1</v>
      </c>
      <c r="BW124" s="607">
        <f t="shared" si="220"/>
        <v>0</v>
      </c>
      <c r="BX124" s="607">
        <f t="shared" si="221"/>
        <v>0</v>
      </c>
      <c r="BY124" s="607">
        <f t="shared" si="222"/>
        <v>0</v>
      </c>
      <c r="BZ124" s="607">
        <f t="shared" si="223"/>
        <v>0</v>
      </c>
      <c r="CA124" s="607">
        <f t="shared" si="224"/>
        <v>0</v>
      </c>
      <c r="CB124" s="607">
        <f t="shared" si="183"/>
        <v>0</v>
      </c>
      <c r="CC124" s="607">
        <f t="shared" si="225"/>
        <v>0</v>
      </c>
      <c r="CD124" s="607">
        <f t="shared" si="226"/>
        <v>0</v>
      </c>
      <c r="CE124" s="607">
        <f t="shared" si="227"/>
        <v>0</v>
      </c>
      <c r="CF124" s="607">
        <f t="shared" si="228"/>
        <v>0</v>
      </c>
      <c r="CG124" s="607">
        <f t="shared" si="229"/>
        <v>0</v>
      </c>
      <c r="CH124" s="607">
        <f t="shared" si="230"/>
        <v>708511.61</v>
      </c>
      <c r="CI124" s="609"/>
      <c r="CK124" s="610" t="str">
        <f t="shared" si="184"/>
        <v/>
      </c>
      <c r="CL124" s="611" t="str">
        <f>IF(CK124="","",COUNTIFS($CK$16:CK124,"Yes")+MAX(State!AD:AD))</f>
        <v/>
      </c>
      <c r="CM124" s="612" t="b">
        <f>IF(C124="", "", AND(INDEX('Summary Dynamic'!$D$8:$D$10, MATCH(H124, 'Summary Dynamic'!$C$8:$C$10, 0))="Include", INDEX('Summary Dynamic'!$D$12:$D$14, MATCH(I124, 'Summary Dynamic'!$C$12:$C$14, 0))="Include", INDEX('Summary Dynamic'!$D$16:$D$17, MATCH(J124, 'Summary Dynamic'!$C$16:$C$17, 0))="Include", INDEX('Summary Dynamic'!$D$19:$D$20, MATCH(K124, 'Summary Dynamic'!$C$19:$C$20, 0))="Include", INDEX('Summary Dynamic'!$D$25:$D$26, MATCH(L124, 'Summary Dynamic'!$C$25:$C$26, 0))="Include",'Summary Dynamic'!$D$23="Include"))</f>
        <v>1</v>
      </c>
      <c r="CN124" s="613">
        <f>IFERROR(IF(CM124=TRUE, COUNTIFS($CM$16:CM124, TRUE), ""), "")</f>
        <v>109</v>
      </c>
      <c r="CP124" s="614" t="str">
        <f t="shared" si="231"/>
        <v>Non-Rural Private</v>
      </c>
      <c r="CY124" s="615"/>
      <c r="CZ124" s="616"/>
    </row>
    <row r="125" spans="2:104" x14ac:dyDescent="0.25">
      <c r="B125" s="617">
        <f t="shared" si="173"/>
        <v>110</v>
      </c>
      <c r="C125" s="593" t="s">
        <v>838</v>
      </c>
      <c r="D125" s="594" t="s">
        <v>838</v>
      </c>
      <c r="E125" s="594" t="s">
        <v>839</v>
      </c>
      <c r="F125" s="407" t="s">
        <v>840</v>
      </c>
      <c r="G125" s="408" t="s">
        <v>282</v>
      </c>
      <c r="H125" s="408" t="s">
        <v>22</v>
      </c>
      <c r="I125" s="408" t="s">
        <v>26</v>
      </c>
      <c r="J125" s="408" t="s">
        <v>35</v>
      </c>
      <c r="K125" s="408" t="s">
        <v>35</v>
      </c>
      <c r="L125" s="408" t="s">
        <v>35</v>
      </c>
      <c r="M125" s="408" t="s">
        <v>37</v>
      </c>
      <c r="N125" s="595" t="str">
        <f t="shared" si="189"/>
        <v>No</v>
      </c>
      <c r="O125" s="596">
        <v>25091</v>
      </c>
      <c r="P125" s="596">
        <v>81807</v>
      </c>
      <c r="Q125" s="597">
        <v>0.25854558425225482</v>
      </c>
      <c r="R125" s="596">
        <f t="shared" si="174"/>
        <v>21150.838610924209</v>
      </c>
      <c r="S125" s="596">
        <f t="shared" si="175"/>
        <v>46241.838610924213</v>
      </c>
      <c r="T125" s="596">
        <f t="shared" si="190"/>
        <v>46241.838610924213</v>
      </c>
      <c r="U125" s="598">
        <f t="shared" si="176"/>
        <v>1.0818385343810841E-2</v>
      </c>
      <c r="V125" s="599">
        <f t="shared" si="185"/>
        <v>0</v>
      </c>
      <c r="W125" s="600">
        <v>45407628.783500351</v>
      </c>
      <c r="X125" s="600">
        <v>0</v>
      </c>
      <c r="Y125" s="600">
        <v>25008180.431810547</v>
      </c>
      <c r="Z125" s="600">
        <f t="shared" si="177"/>
        <v>0</v>
      </c>
      <c r="AA125" s="600">
        <f t="shared" si="178"/>
        <v>45407628.783500351</v>
      </c>
      <c r="AB125" s="601">
        <f t="shared" si="191"/>
        <v>0</v>
      </c>
      <c r="AC125" s="599">
        <v>0</v>
      </c>
      <c r="AD125" s="599">
        <f>MAX(IF(M125="Yes",'Assumption Inputs'!$C$40,'Assumption Inputs'!$C$41),AC125)</f>
        <v>8000000</v>
      </c>
      <c r="AE125" s="599">
        <f t="shared" si="186"/>
        <v>8000000</v>
      </c>
      <c r="AF125" s="599">
        <f t="shared" si="192"/>
        <v>0</v>
      </c>
      <c r="AG125" s="599">
        <f t="shared" si="187"/>
        <v>0</v>
      </c>
      <c r="AH125" s="599">
        <f t="shared" si="188"/>
        <v>8000000</v>
      </c>
      <c r="AI125" s="599">
        <v>111065525.0770002</v>
      </c>
      <c r="AJ125" s="599">
        <v>73657896.293499857</v>
      </c>
      <c r="AK125" s="602">
        <f t="shared" si="179"/>
        <v>0.66319315775470244</v>
      </c>
      <c r="AL125" s="603">
        <f t="shared" si="131"/>
        <v>0</v>
      </c>
      <c r="AM125" s="600">
        <f t="shared" si="180"/>
        <v>8000000</v>
      </c>
      <c r="AN125" s="600">
        <f t="shared" si="193"/>
        <v>8000000</v>
      </c>
      <c r="AO125" s="600">
        <f t="shared" si="133"/>
        <v>0</v>
      </c>
      <c r="AP125" s="600">
        <f t="shared" si="134"/>
        <v>37407628.783500351</v>
      </c>
      <c r="AQ125" s="600">
        <f t="shared" si="181"/>
        <v>0</v>
      </c>
      <c r="AR125" s="600">
        <f t="shared" si="182"/>
        <v>8000000</v>
      </c>
      <c r="AS125" s="604">
        <f t="shared" si="194"/>
        <v>0</v>
      </c>
      <c r="AT125" s="605">
        <f t="shared" si="195"/>
        <v>0</v>
      </c>
      <c r="AU125" s="600">
        <f t="shared" si="196"/>
        <v>8000000</v>
      </c>
      <c r="AV125" s="600">
        <f t="shared" si="197"/>
        <v>8000000</v>
      </c>
      <c r="AW125" s="600">
        <f t="shared" si="198"/>
        <v>0</v>
      </c>
      <c r="AX125" s="600">
        <f t="shared" si="199"/>
        <v>37407628.783500351</v>
      </c>
      <c r="AY125" s="600">
        <f t="shared" si="200"/>
        <v>7.3601349815920119E-11</v>
      </c>
      <c r="AZ125" s="600">
        <f t="shared" si="201"/>
        <v>8000000</v>
      </c>
      <c r="BA125" s="600">
        <f t="shared" si="202"/>
        <v>0</v>
      </c>
      <c r="BB125" s="600">
        <f t="shared" si="203"/>
        <v>0</v>
      </c>
      <c r="BC125" s="600">
        <f t="shared" si="204"/>
        <v>0</v>
      </c>
      <c r="BD125" s="600">
        <f t="shared" si="205"/>
        <v>0</v>
      </c>
      <c r="BE125" s="600">
        <f t="shared" si="206"/>
        <v>37407628.783500351</v>
      </c>
      <c r="BF125" s="600">
        <f t="shared" si="207"/>
        <v>8000000</v>
      </c>
      <c r="BG125" s="600">
        <v>0</v>
      </c>
      <c r="BH125" s="600">
        <v>0</v>
      </c>
      <c r="BI125" s="600">
        <f t="shared" si="208"/>
        <v>0</v>
      </c>
      <c r="BJ125" s="600">
        <f t="shared" si="209"/>
        <v>8000000</v>
      </c>
      <c r="BK125" s="600">
        <f t="shared" si="210"/>
        <v>2810399.9999999995</v>
      </c>
      <c r="BL125" s="600">
        <v>8000000</v>
      </c>
      <c r="BM125" s="600">
        <f t="shared" si="211"/>
        <v>0</v>
      </c>
      <c r="BN125" s="600">
        <f t="shared" si="212"/>
        <v>0</v>
      </c>
      <c r="BO125" s="600">
        <f t="shared" si="213"/>
        <v>0</v>
      </c>
      <c r="BP125" s="600">
        <f t="shared" si="214"/>
        <v>2810399.9999999995</v>
      </c>
      <c r="BQ125" s="600">
        <f t="shared" si="215"/>
        <v>0</v>
      </c>
      <c r="BR125" s="600">
        <f t="shared" si="216"/>
        <v>0</v>
      </c>
      <c r="BT125" s="606">
        <f t="shared" si="217"/>
        <v>1</v>
      </c>
      <c r="BU125" s="607">
        <f t="shared" si="218"/>
        <v>0</v>
      </c>
      <c r="BV125" s="606">
        <f t="shared" si="219"/>
        <v>1</v>
      </c>
      <c r="BW125" s="607">
        <f t="shared" si="220"/>
        <v>0</v>
      </c>
      <c r="BX125" s="607">
        <f t="shared" si="221"/>
        <v>0</v>
      </c>
      <c r="BY125" s="607">
        <f t="shared" si="222"/>
        <v>0</v>
      </c>
      <c r="BZ125" s="607">
        <f t="shared" si="223"/>
        <v>0</v>
      </c>
      <c r="CA125" s="607">
        <f t="shared" si="224"/>
        <v>0</v>
      </c>
      <c r="CB125" s="607">
        <f t="shared" si="183"/>
        <v>0</v>
      </c>
      <c r="CC125" s="607">
        <f t="shared" si="225"/>
        <v>0</v>
      </c>
      <c r="CD125" s="607">
        <f t="shared" si="226"/>
        <v>0</v>
      </c>
      <c r="CE125" s="607">
        <f t="shared" si="227"/>
        <v>0</v>
      </c>
      <c r="CF125" s="607">
        <f t="shared" si="228"/>
        <v>0</v>
      </c>
      <c r="CG125" s="607">
        <f t="shared" si="229"/>
        <v>0</v>
      </c>
      <c r="CH125" s="607">
        <f t="shared" si="230"/>
        <v>8000000</v>
      </c>
      <c r="CI125" s="609"/>
      <c r="CK125" s="610" t="str">
        <f t="shared" si="184"/>
        <v/>
      </c>
      <c r="CL125" s="611" t="str">
        <f>IF(CK125="","",COUNTIFS($CK$16:CK125,"Yes")+MAX(State!AD:AD))</f>
        <v/>
      </c>
      <c r="CM125" s="612" t="b">
        <f>IF(C125="", "", AND(INDEX('Summary Dynamic'!$D$8:$D$10, MATCH(H125, 'Summary Dynamic'!$C$8:$C$10, 0))="Include", INDEX('Summary Dynamic'!$D$12:$D$14, MATCH(I125, 'Summary Dynamic'!$C$12:$C$14, 0))="Include", INDEX('Summary Dynamic'!$D$16:$D$17, MATCH(J125, 'Summary Dynamic'!$C$16:$C$17, 0))="Include", INDEX('Summary Dynamic'!$D$19:$D$20, MATCH(K125, 'Summary Dynamic'!$C$19:$C$20, 0))="Include", INDEX('Summary Dynamic'!$D$25:$D$26, MATCH(L125, 'Summary Dynamic'!$C$25:$C$26, 0))="Include",'Summary Dynamic'!$D$23="Include"))</f>
        <v>1</v>
      </c>
      <c r="CN125" s="613">
        <f>IFERROR(IF(CM125=TRUE, COUNTIFS($CM$16:CM125, TRUE), ""), "")</f>
        <v>110</v>
      </c>
      <c r="CP125" s="614" t="str">
        <f t="shared" si="231"/>
        <v>Non-Rural Private</v>
      </c>
      <c r="CY125" s="615"/>
      <c r="CZ125" s="616"/>
    </row>
    <row r="126" spans="2:104" x14ac:dyDescent="0.25">
      <c r="B126" s="617">
        <f t="shared" si="173"/>
        <v>111</v>
      </c>
      <c r="C126" s="593" t="s">
        <v>841</v>
      </c>
      <c r="D126" s="594" t="s">
        <v>841</v>
      </c>
      <c r="E126" s="594" t="s">
        <v>842</v>
      </c>
      <c r="F126" s="407" t="s">
        <v>843</v>
      </c>
      <c r="G126" s="408" t="s">
        <v>282</v>
      </c>
      <c r="H126" s="408" t="s">
        <v>22</v>
      </c>
      <c r="I126" s="408" t="s">
        <v>26</v>
      </c>
      <c r="J126" s="408" t="s">
        <v>35</v>
      </c>
      <c r="K126" s="408" t="s">
        <v>35</v>
      </c>
      <c r="L126" s="408" t="s">
        <v>35</v>
      </c>
      <c r="M126" s="408" t="s">
        <v>37</v>
      </c>
      <c r="N126" s="595" t="str">
        <f t="shared" si="189"/>
        <v>No</v>
      </c>
      <c r="O126" s="596">
        <v>22928</v>
      </c>
      <c r="P126" s="596">
        <v>82700</v>
      </c>
      <c r="Q126" s="597">
        <v>0.29550635188593394</v>
      </c>
      <c r="R126" s="596">
        <f t="shared" si="174"/>
        <v>24438.375300966738</v>
      </c>
      <c r="S126" s="596">
        <f t="shared" si="175"/>
        <v>47366.375300966742</v>
      </c>
      <c r="T126" s="596">
        <f t="shared" si="190"/>
        <v>47366.375300966742</v>
      </c>
      <c r="U126" s="598">
        <f t="shared" si="176"/>
        <v>1.1081473309419103E-2</v>
      </c>
      <c r="V126" s="599">
        <f t="shared" si="185"/>
        <v>0</v>
      </c>
      <c r="W126" s="600">
        <v>44652272.790977158</v>
      </c>
      <c r="X126" s="600">
        <v>0</v>
      </c>
      <c r="Y126" s="600">
        <v>34228564.49599731</v>
      </c>
      <c r="Z126" s="600">
        <f t="shared" si="177"/>
        <v>0</v>
      </c>
      <c r="AA126" s="600">
        <f t="shared" si="178"/>
        <v>44652272.790977158</v>
      </c>
      <c r="AB126" s="601">
        <f t="shared" si="191"/>
        <v>0</v>
      </c>
      <c r="AC126" s="599">
        <v>1062997.2503004926</v>
      </c>
      <c r="AD126" s="599">
        <f>MAX(IF(M126="Yes",'Assumption Inputs'!$C$40,'Assumption Inputs'!$C$41),AC126)</f>
        <v>8000000</v>
      </c>
      <c r="AE126" s="599">
        <f t="shared" si="186"/>
        <v>8000000</v>
      </c>
      <c r="AF126" s="599">
        <f t="shared" si="192"/>
        <v>0</v>
      </c>
      <c r="AG126" s="599">
        <f t="shared" si="187"/>
        <v>0</v>
      </c>
      <c r="AH126" s="599">
        <f t="shared" si="188"/>
        <v>8000000</v>
      </c>
      <c r="AI126" s="599">
        <v>133672734.74628827</v>
      </c>
      <c r="AJ126" s="599">
        <v>97020461.95531112</v>
      </c>
      <c r="AK126" s="602">
        <f t="shared" si="179"/>
        <v>0.72580591800905847</v>
      </c>
      <c r="AL126" s="603">
        <f t="shared" si="131"/>
        <v>0</v>
      </c>
      <c r="AM126" s="600">
        <f t="shared" si="180"/>
        <v>8000000</v>
      </c>
      <c r="AN126" s="600">
        <f t="shared" si="193"/>
        <v>8000000</v>
      </c>
      <c r="AO126" s="600">
        <f t="shared" si="133"/>
        <v>0</v>
      </c>
      <c r="AP126" s="600">
        <f t="shared" si="134"/>
        <v>36652272.790977158</v>
      </c>
      <c r="AQ126" s="600">
        <f t="shared" si="181"/>
        <v>0</v>
      </c>
      <c r="AR126" s="600">
        <f t="shared" si="182"/>
        <v>8000000</v>
      </c>
      <c r="AS126" s="604">
        <f t="shared" si="194"/>
        <v>0</v>
      </c>
      <c r="AT126" s="605">
        <f t="shared" si="195"/>
        <v>0</v>
      </c>
      <c r="AU126" s="600">
        <f t="shared" si="196"/>
        <v>8000000</v>
      </c>
      <c r="AV126" s="600">
        <f t="shared" si="197"/>
        <v>8000000</v>
      </c>
      <c r="AW126" s="600">
        <f t="shared" si="198"/>
        <v>0</v>
      </c>
      <c r="AX126" s="600">
        <f t="shared" si="199"/>
        <v>36652272.790977158</v>
      </c>
      <c r="AY126" s="600">
        <f t="shared" si="200"/>
        <v>7.2115149742587129E-11</v>
      </c>
      <c r="AZ126" s="600">
        <f t="shared" si="201"/>
        <v>8000000</v>
      </c>
      <c r="BA126" s="600">
        <f t="shared" si="202"/>
        <v>0</v>
      </c>
      <c r="BB126" s="600">
        <f t="shared" si="203"/>
        <v>0</v>
      </c>
      <c r="BC126" s="600">
        <f t="shared" si="204"/>
        <v>0</v>
      </c>
      <c r="BD126" s="600">
        <f t="shared" si="205"/>
        <v>0</v>
      </c>
      <c r="BE126" s="600">
        <f t="shared" si="206"/>
        <v>36652272.790977158</v>
      </c>
      <c r="BF126" s="600">
        <f t="shared" si="207"/>
        <v>8000000</v>
      </c>
      <c r="BG126" s="600">
        <v>0</v>
      </c>
      <c r="BH126" s="600">
        <v>0</v>
      </c>
      <c r="BI126" s="600">
        <f t="shared" si="208"/>
        <v>0</v>
      </c>
      <c r="BJ126" s="600">
        <f t="shared" si="209"/>
        <v>8000000</v>
      </c>
      <c r="BK126" s="600">
        <f t="shared" si="210"/>
        <v>2810399.9999999995</v>
      </c>
      <c r="BL126" s="600">
        <v>8000000</v>
      </c>
      <c r="BM126" s="600">
        <f t="shared" si="211"/>
        <v>0</v>
      </c>
      <c r="BN126" s="600">
        <f t="shared" si="212"/>
        <v>0</v>
      </c>
      <c r="BO126" s="600">
        <f t="shared" si="213"/>
        <v>0</v>
      </c>
      <c r="BP126" s="600">
        <f t="shared" si="214"/>
        <v>2810399.9999999995</v>
      </c>
      <c r="BQ126" s="600">
        <f t="shared" si="215"/>
        <v>0</v>
      </c>
      <c r="BR126" s="600">
        <f t="shared" si="216"/>
        <v>0</v>
      </c>
      <c r="BT126" s="606">
        <f t="shared" si="217"/>
        <v>1</v>
      </c>
      <c r="BU126" s="607">
        <f t="shared" si="218"/>
        <v>0</v>
      </c>
      <c r="BV126" s="606">
        <f t="shared" si="219"/>
        <v>1</v>
      </c>
      <c r="BW126" s="607">
        <f t="shared" si="220"/>
        <v>0</v>
      </c>
      <c r="BX126" s="607">
        <f t="shared" si="221"/>
        <v>0</v>
      </c>
      <c r="BY126" s="607">
        <f t="shared" si="222"/>
        <v>0</v>
      </c>
      <c r="BZ126" s="607">
        <f t="shared" si="223"/>
        <v>0</v>
      </c>
      <c r="CA126" s="607">
        <f t="shared" si="224"/>
        <v>0</v>
      </c>
      <c r="CB126" s="607">
        <f t="shared" si="183"/>
        <v>0</v>
      </c>
      <c r="CC126" s="607">
        <f t="shared" si="225"/>
        <v>0</v>
      </c>
      <c r="CD126" s="607">
        <f t="shared" si="226"/>
        <v>0</v>
      </c>
      <c r="CE126" s="607">
        <f t="shared" si="227"/>
        <v>0</v>
      </c>
      <c r="CF126" s="607">
        <f t="shared" si="228"/>
        <v>0</v>
      </c>
      <c r="CG126" s="607">
        <f t="shared" si="229"/>
        <v>0</v>
      </c>
      <c r="CH126" s="607">
        <f t="shared" si="230"/>
        <v>8000000</v>
      </c>
      <c r="CI126" s="609"/>
      <c r="CK126" s="610" t="str">
        <f t="shared" si="184"/>
        <v/>
      </c>
      <c r="CL126" s="611" t="str">
        <f>IF(CK126="","",COUNTIFS($CK$16:CK126,"Yes")+MAX(State!AD:AD))</f>
        <v/>
      </c>
      <c r="CM126" s="612" t="b">
        <f>IF(C126="", "", AND(INDEX('Summary Dynamic'!$D$8:$D$10, MATCH(H126, 'Summary Dynamic'!$C$8:$C$10, 0))="Include", INDEX('Summary Dynamic'!$D$12:$D$14, MATCH(I126, 'Summary Dynamic'!$C$12:$C$14, 0))="Include", INDEX('Summary Dynamic'!$D$16:$D$17, MATCH(J126, 'Summary Dynamic'!$C$16:$C$17, 0))="Include", INDEX('Summary Dynamic'!$D$19:$D$20, MATCH(K126, 'Summary Dynamic'!$C$19:$C$20, 0))="Include", INDEX('Summary Dynamic'!$D$25:$D$26, MATCH(L126, 'Summary Dynamic'!$C$25:$C$26, 0))="Include",'Summary Dynamic'!$D$23="Include"))</f>
        <v>1</v>
      </c>
      <c r="CN126" s="613">
        <f>IFERROR(IF(CM126=TRUE, COUNTIFS($CM$16:CM126, TRUE), ""), "")</f>
        <v>111</v>
      </c>
      <c r="CP126" s="614" t="str">
        <f t="shared" si="231"/>
        <v>Non-Rural Private</v>
      </c>
      <c r="CY126" s="615"/>
      <c r="CZ126" s="616"/>
    </row>
    <row r="127" spans="2:104" x14ac:dyDescent="0.25">
      <c r="B127" s="617">
        <f t="shared" si="173"/>
        <v>112</v>
      </c>
      <c r="C127" s="593" t="s">
        <v>844</v>
      </c>
      <c r="D127" s="594" t="s">
        <v>844</v>
      </c>
      <c r="E127" s="594" t="s">
        <v>845</v>
      </c>
      <c r="F127" s="407" t="s">
        <v>846</v>
      </c>
      <c r="G127" s="408" t="s">
        <v>847</v>
      </c>
      <c r="H127" s="408" t="s">
        <v>22</v>
      </c>
      <c r="I127" s="408" t="s">
        <v>26</v>
      </c>
      <c r="J127" s="408" t="s">
        <v>35</v>
      </c>
      <c r="K127" s="408" t="s">
        <v>35</v>
      </c>
      <c r="L127" s="408" t="s">
        <v>35</v>
      </c>
      <c r="M127" s="408" t="s">
        <v>37</v>
      </c>
      <c r="N127" s="595" t="str">
        <f t="shared" si="189"/>
        <v>No</v>
      </c>
      <c r="O127" s="596">
        <v>18351</v>
      </c>
      <c r="P127" s="596">
        <v>126092</v>
      </c>
      <c r="Q127" s="597">
        <v>8.3819258135483049E-2</v>
      </c>
      <c r="R127" s="596">
        <f t="shared" si="174"/>
        <v>10568.937896819329</v>
      </c>
      <c r="S127" s="596">
        <f t="shared" si="175"/>
        <v>28919.937896819327</v>
      </c>
      <c r="T127" s="596">
        <f t="shared" si="190"/>
        <v>28919.937896819327</v>
      </c>
      <c r="U127" s="598">
        <f t="shared" si="176"/>
        <v>6.765886515008898E-3</v>
      </c>
      <c r="V127" s="599">
        <f t="shared" si="185"/>
        <v>0</v>
      </c>
      <c r="W127" s="600">
        <v>23856470.329753675</v>
      </c>
      <c r="X127" s="600">
        <v>0</v>
      </c>
      <c r="Y127" s="600">
        <v>12548226.230557987</v>
      </c>
      <c r="Z127" s="600">
        <f t="shared" si="177"/>
        <v>0</v>
      </c>
      <c r="AA127" s="600">
        <f t="shared" si="178"/>
        <v>23856470.329753675</v>
      </c>
      <c r="AB127" s="601">
        <f t="shared" si="191"/>
        <v>0</v>
      </c>
      <c r="AC127" s="599">
        <v>9879265.8340625763</v>
      </c>
      <c r="AD127" s="599">
        <f>MAX(IF(M127="Yes",'Assumption Inputs'!$C$40,'Assumption Inputs'!$C$41),AC127)</f>
        <v>9879265.8340625763</v>
      </c>
      <c r="AE127" s="599">
        <f t="shared" si="186"/>
        <v>9879265.8340625763</v>
      </c>
      <c r="AF127" s="599">
        <f t="shared" si="192"/>
        <v>0</v>
      </c>
      <c r="AG127" s="599">
        <f t="shared" si="187"/>
        <v>0</v>
      </c>
      <c r="AH127" s="599">
        <f t="shared" si="188"/>
        <v>9879265.8340625763</v>
      </c>
      <c r="AI127" s="599">
        <v>66409587.230618857</v>
      </c>
      <c r="AJ127" s="599">
        <v>52432382.734927759</v>
      </c>
      <c r="AK127" s="602">
        <f t="shared" si="179"/>
        <v>0.78953032116955013</v>
      </c>
      <c r="AL127" s="603">
        <f t="shared" si="131"/>
        <v>0</v>
      </c>
      <c r="AM127" s="600">
        <f t="shared" si="180"/>
        <v>9879265.8340625763</v>
      </c>
      <c r="AN127" s="600">
        <f t="shared" si="193"/>
        <v>9879265.8340625763</v>
      </c>
      <c r="AO127" s="600">
        <f t="shared" si="133"/>
        <v>0</v>
      </c>
      <c r="AP127" s="600">
        <f t="shared" si="134"/>
        <v>13977204.495691098</v>
      </c>
      <c r="AQ127" s="600">
        <f t="shared" si="181"/>
        <v>0</v>
      </c>
      <c r="AR127" s="600">
        <f t="shared" si="182"/>
        <v>9879265.8340625763</v>
      </c>
      <c r="AS127" s="604">
        <f t="shared" si="194"/>
        <v>0</v>
      </c>
      <c r="AT127" s="605">
        <f t="shared" si="195"/>
        <v>0</v>
      </c>
      <c r="AU127" s="600">
        <f t="shared" si="196"/>
        <v>9879265.8340625763</v>
      </c>
      <c r="AV127" s="600">
        <f t="shared" si="197"/>
        <v>9879265.8340625763</v>
      </c>
      <c r="AW127" s="600">
        <f t="shared" si="198"/>
        <v>0</v>
      </c>
      <c r="AX127" s="600">
        <f t="shared" si="199"/>
        <v>13977204.495691098</v>
      </c>
      <c r="AY127" s="600">
        <f t="shared" si="200"/>
        <v>2.7500837422492974E-11</v>
      </c>
      <c r="AZ127" s="600">
        <f t="shared" si="201"/>
        <v>9879265.8340625763</v>
      </c>
      <c r="BA127" s="600">
        <f t="shared" si="202"/>
        <v>0</v>
      </c>
      <c r="BB127" s="600">
        <f t="shared" si="203"/>
        <v>0</v>
      </c>
      <c r="BC127" s="600">
        <f t="shared" si="204"/>
        <v>0</v>
      </c>
      <c r="BD127" s="600">
        <f t="shared" si="205"/>
        <v>0</v>
      </c>
      <c r="BE127" s="600">
        <f t="shared" si="206"/>
        <v>13977204.495691098</v>
      </c>
      <c r="BF127" s="600">
        <f t="shared" si="207"/>
        <v>9879265.8340625763</v>
      </c>
      <c r="BG127" s="600">
        <v>0</v>
      </c>
      <c r="BH127" s="600">
        <v>0</v>
      </c>
      <c r="BI127" s="600">
        <f t="shared" si="208"/>
        <v>0</v>
      </c>
      <c r="BJ127" s="600">
        <f t="shared" si="209"/>
        <v>9879265.8300000001</v>
      </c>
      <c r="BK127" s="600">
        <f t="shared" si="210"/>
        <v>3470586.0860789996</v>
      </c>
      <c r="BL127" s="600">
        <v>9879265.8300000001</v>
      </c>
      <c r="BM127" s="600">
        <f t="shared" si="211"/>
        <v>0</v>
      </c>
      <c r="BN127" s="600">
        <f t="shared" si="212"/>
        <v>0</v>
      </c>
      <c r="BO127" s="600">
        <f t="shared" si="213"/>
        <v>0</v>
      </c>
      <c r="BP127" s="600">
        <f t="shared" si="214"/>
        <v>3470586.0860789996</v>
      </c>
      <c r="BQ127" s="600">
        <f t="shared" si="215"/>
        <v>0</v>
      </c>
      <c r="BR127" s="600">
        <f t="shared" si="216"/>
        <v>0</v>
      </c>
      <c r="BT127" s="606">
        <f t="shared" si="217"/>
        <v>1</v>
      </c>
      <c r="BU127" s="607">
        <f t="shared" si="218"/>
        <v>0</v>
      </c>
      <c r="BV127" s="606">
        <f t="shared" si="219"/>
        <v>1</v>
      </c>
      <c r="BW127" s="607">
        <f t="shared" si="220"/>
        <v>0</v>
      </c>
      <c r="BX127" s="607">
        <f t="shared" si="221"/>
        <v>0</v>
      </c>
      <c r="BY127" s="607">
        <f t="shared" si="222"/>
        <v>0</v>
      </c>
      <c r="BZ127" s="607">
        <f t="shared" si="223"/>
        <v>0</v>
      </c>
      <c r="CA127" s="607">
        <f t="shared" si="224"/>
        <v>0</v>
      </c>
      <c r="CB127" s="607">
        <f t="shared" si="183"/>
        <v>0</v>
      </c>
      <c r="CC127" s="607">
        <f t="shared" si="225"/>
        <v>0</v>
      </c>
      <c r="CD127" s="607">
        <f t="shared" si="226"/>
        <v>0</v>
      </c>
      <c r="CE127" s="607">
        <f t="shared" si="227"/>
        <v>0</v>
      </c>
      <c r="CF127" s="607">
        <f t="shared" si="228"/>
        <v>0</v>
      </c>
      <c r="CG127" s="607">
        <f t="shared" si="229"/>
        <v>0</v>
      </c>
      <c r="CH127" s="607">
        <f t="shared" si="230"/>
        <v>9879265.8300000001</v>
      </c>
      <c r="CI127" s="609"/>
      <c r="CK127" s="610" t="str">
        <f t="shared" si="184"/>
        <v/>
      </c>
      <c r="CL127" s="611" t="str">
        <f>IF(CK127="","",COUNTIFS($CK$16:CK127,"Yes")+MAX(State!AD:AD))</f>
        <v/>
      </c>
      <c r="CM127" s="612" t="b">
        <f>IF(C127="", "", AND(INDEX('Summary Dynamic'!$D$8:$D$10, MATCH(H127, 'Summary Dynamic'!$C$8:$C$10, 0))="Include", INDEX('Summary Dynamic'!$D$12:$D$14, MATCH(I127, 'Summary Dynamic'!$C$12:$C$14, 0))="Include", INDEX('Summary Dynamic'!$D$16:$D$17, MATCH(J127, 'Summary Dynamic'!$C$16:$C$17, 0))="Include", INDEX('Summary Dynamic'!$D$19:$D$20, MATCH(K127, 'Summary Dynamic'!$C$19:$C$20, 0))="Include", INDEX('Summary Dynamic'!$D$25:$D$26, MATCH(L127, 'Summary Dynamic'!$C$25:$C$26, 0))="Include",'Summary Dynamic'!$D$23="Include"))</f>
        <v>1</v>
      </c>
      <c r="CN127" s="613">
        <f>IFERROR(IF(CM127=TRUE, COUNTIFS($CM$16:CM127, TRUE), ""), "")</f>
        <v>112</v>
      </c>
      <c r="CP127" s="614" t="str">
        <f t="shared" si="231"/>
        <v>Non-Rural Private</v>
      </c>
      <c r="CY127" s="615"/>
      <c r="CZ127" s="616"/>
    </row>
    <row r="128" spans="2:104" x14ac:dyDescent="0.25">
      <c r="B128" s="617">
        <f t="shared" si="173"/>
        <v>113</v>
      </c>
      <c r="C128" s="593" t="s">
        <v>848</v>
      </c>
      <c r="D128" s="594" t="s">
        <v>848</v>
      </c>
      <c r="E128" s="594" t="s">
        <v>849</v>
      </c>
      <c r="F128" s="407" t="s">
        <v>850</v>
      </c>
      <c r="G128" s="408" t="s">
        <v>851</v>
      </c>
      <c r="H128" s="408" t="s">
        <v>22</v>
      </c>
      <c r="I128" s="408" t="s">
        <v>26</v>
      </c>
      <c r="J128" s="408" t="s">
        <v>31</v>
      </c>
      <c r="K128" s="408" t="s">
        <v>35</v>
      </c>
      <c r="L128" s="408" t="s">
        <v>35</v>
      </c>
      <c r="M128" s="408" t="s">
        <v>35</v>
      </c>
      <c r="N128" s="595" t="str">
        <f t="shared" si="189"/>
        <v>No</v>
      </c>
      <c r="O128" s="596">
        <v>806</v>
      </c>
      <c r="P128" s="596">
        <v>3001</v>
      </c>
      <c r="Q128" s="597">
        <v>0.27773141106972898</v>
      </c>
      <c r="R128" s="596">
        <f t="shared" si="174"/>
        <v>833.4719646202567</v>
      </c>
      <c r="S128" s="596">
        <f t="shared" si="175"/>
        <v>1639.4719646202566</v>
      </c>
      <c r="T128" s="596">
        <f t="shared" si="190"/>
        <v>1639.4719646202566</v>
      </c>
      <c r="U128" s="598">
        <f t="shared" si="176"/>
        <v>3.8355826685157967E-4</v>
      </c>
      <c r="V128" s="599">
        <f t="shared" si="185"/>
        <v>0</v>
      </c>
      <c r="W128" s="600">
        <v>2800266.9151764931</v>
      </c>
      <c r="X128" s="600">
        <v>0</v>
      </c>
      <c r="Y128" s="600">
        <v>861489.21264254372</v>
      </c>
      <c r="Z128" s="600">
        <f t="shared" si="177"/>
        <v>0</v>
      </c>
      <c r="AA128" s="600">
        <f t="shared" si="178"/>
        <v>2800266.9151764931</v>
      </c>
      <c r="AB128" s="601">
        <f t="shared" si="191"/>
        <v>0</v>
      </c>
      <c r="AC128" s="599">
        <v>0</v>
      </c>
      <c r="AD128" s="599">
        <f>MAX(IF(M128="Yes",'Assumption Inputs'!$C$40,'Assumption Inputs'!$C$41),AC128)</f>
        <v>6000000</v>
      </c>
      <c r="AE128" s="599">
        <f t="shared" si="186"/>
        <v>1816533.1478749914</v>
      </c>
      <c r="AF128" s="599">
        <f t="shared" si="192"/>
        <v>0</v>
      </c>
      <c r="AG128" s="599">
        <f t="shared" si="187"/>
        <v>0</v>
      </c>
      <c r="AH128" s="599">
        <f t="shared" si="188"/>
        <v>1816533.1478749914</v>
      </c>
      <c r="AI128" s="599">
        <v>8383422.3811129779</v>
      </c>
      <c r="AJ128" s="599">
        <v>7399688.6138114771</v>
      </c>
      <c r="AK128" s="602">
        <f t="shared" si="179"/>
        <v>0.88265725826748798</v>
      </c>
      <c r="AL128" s="603">
        <f t="shared" si="131"/>
        <v>0</v>
      </c>
      <c r="AM128" s="600">
        <f t="shared" si="180"/>
        <v>1816533.1478749914</v>
      </c>
      <c r="AN128" s="600">
        <f t="shared" si="193"/>
        <v>1816533.1478749914</v>
      </c>
      <c r="AO128" s="600">
        <f t="shared" si="133"/>
        <v>0</v>
      </c>
      <c r="AP128" s="600">
        <f t="shared" si="134"/>
        <v>983733.76730150171</v>
      </c>
      <c r="AQ128" s="600">
        <f t="shared" si="181"/>
        <v>0</v>
      </c>
      <c r="AR128" s="600">
        <f t="shared" si="182"/>
        <v>1816533.1478749914</v>
      </c>
      <c r="AS128" s="604">
        <f t="shared" si="194"/>
        <v>0</v>
      </c>
      <c r="AT128" s="605">
        <f t="shared" si="195"/>
        <v>0</v>
      </c>
      <c r="AU128" s="600">
        <f t="shared" si="196"/>
        <v>1816533.1478749914</v>
      </c>
      <c r="AV128" s="600">
        <f t="shared" si="197"/>
        <v>1816533.1478749914</v>
      </c>
      <c r="AW128" s="600">
        <f t="shared" si="198"/>
        <v>0</v>
      </c>
      <c r="AX128" s="600">
        <f t="shared" si="199"/>
        <v>983733.76730150171</v>
      </c>
      <c r="AY128" s="600">
        <f t="shared" si="200"/>
        <v>1.9355445797416217E-12</v>
      </c>
      <c r="AZ128" s="600">
        <f t="shared" si="201"/>
        <v>1816533.1478749914</v>
      </c>
      <c r="BA128" s="600">
        <f t="shared" si="202"/>
        <v>0</v>
      </c>
      <c r="BB128" s="600">
        <f t="shared" si="203"/>
        <v>0</v>
      </c>
      <c r="BC128" s="600">
        <f t="shared" si="204"/>
        <v>0</v>
      </c>
      <c r="BD128" s="600">
        <f t="shared" si="205"/>
        <v>0</v>
      </c>
      <c r="BE128" s="600">
        <f t="shared" si="206"/>
        <v>983733.76730150171</v>
      </c>
      <c r="BF128" s="600">
        <f t="shared" si="207"/>
        <v>1816533.1478749914</v>
      </c>
      <c r="BG128" s="600">
        <v>0</v>
      </c>
      <c r="BH128" s="600">
        <v>0</v>
      </c>
      <c r="BI128" s="600">
        <f t="shared" si="208"/>
        <v>0</v>
      </c>
      <c r="BJ128" s="600">
        <f t="shared" si="209"/>
        <v>1816533.15</v>
      </c>
      <c r="BK128" s="600">
        <f t="shared" si="210"/>
        <v>638148.09559499985</v>
      </c>
      <c r="BL128" s="600">
        <v>1816533.15</v>
      </c>
      <c r="BM128" s="600">
        <f t="shared" si="211"/>
        <v>0</v>
      </c>
      <c r="BN128" s="600">
        <f t="shared" si="212"/>
        <v>0</v>
      </c>
      <c r="BO128" s="600">
        <f t="shared" si="213"/>
        <v>0</v>
      </c>
      <c r="BP128" s="600">
        <f t="shared" si="214"/>
        <v>638148.09559499985</v>
      </c>
      <c r="BQ128" s="600">
        <f t="shared" si="215"/>
        <v>0</v>
      </c>
      <c r="BR128" s="600">
        <f t="shared" si="216"/>
        <v>0</v>
      </c>
      <c r="BT128" s="606">
        <f t="shared" si="217"/>
        <v>1</v>
      </c>
      <c r="BU128" s="607">
        <f t="shared" si="218"/>
        <v>0</v>
      </c>
      <c r="BV128" s="606">
        <f t="shared" si="219"/>
        <v>1.0993388314269734</v>
      </c>
      <c r="BW128" s="607">
        <f t="shared" si="220"/>
        <v>0</v>
      </c>
      <c r="BX128" s="607">
        <f t="shared" si="221"/>
        <v>0</v>
      </c>
      <c r="BY128" s="607">
        <f t="shared" si="222"/>
        <v>0</v>
      </c>
      <c r="BZ128" s="607">
        <f t="shared" si="223"/>
        <v>0</v>
      </c>
      <c r="CA128" s="607">
        <f t="shared" si="224"/>
        <v>0</v>
      </c>
      <c r="CB128" s="607">
        <f t="shared" si="183"/>
        <v>0</v>
      </c>
      <c r="CC128" s="607">
        <f t="shared" si="225"/>
        <v>345585.6724530175</v>
      </c>
      <c r="CD128" s="607">
        <f t="shared" si="226"/>
        <v>983733.76730150171</v>
      </c>
      <c r="CE128" s="607">
        <f t="shared" si="227"/>
        <v>983733.76730150171</v>
      </c>
      <c r="CF128" s="607">
        <f t="shared" si="228"/>
        <v>474133.09</v>
      </c>
      <c r="CG128" s="607">
        <f t="shared" si="229"/>
        <v>0</v>
      </c>
      <c r="CH128" s="607">
        <f t="shared" si="230"/>
        <v>2290666.2399999998</v>
      </c>
      <c r="CI128" s="609"/>
      <c r="CK128" s="610" t="str">
        <f t="shared" si="184"/>
        <v/>
      </c>
      <c r="CL128" s="611" t="str">
        <f>IF(CK128="","",COUNTIFS($CK$16:CK128,"Yes")+MAX(State!AD:AD))</f>
        <v/>
      </c>
      <c r="CM128" s="612" t="b">
        <f>IF(C128="", "", AND(INDEX('Summary Dynamic'!$D$8:$D$10, MATCH(H128, 'Summary Dynamic'!$C$8:$C$10, 0))="Include", INDEX('Summary Dynamic'!$D$12:$D$14, MATCH(I128, 'Summary Dynamic'!$C$12:$C$14, 0))="Include", INDEX('Summary Dynamic'!$D$16:$D$17, MATCH(J128, 'Summary Dynamic'!$C$16:$C$17, 0))="Include", INDEX('Summary Dynamic'!$D$19:$D$20, MATCH(K128, 'Summary Dynamic'!$C$19:$C$20, 0))="Include", INDEX('Summary Dynamic'!$D$25:$D$26, MATCH(L128, 'Summary Dynamic'!$C$25:$C$26, 0))="Include",'Summary Dynamic'!$D$23="Include"))</f>
        <v>1</v>
      </c>
      <c r="CN128" s="613">
        <f>IFERROR(IF(CM128=TRUE, COUNTIFS($CM$16:CM128, TRUE), ""), "")</f>
        <v>113</v>
      </c>
      <c r="CP128" s="614" t="str">
        <f t="shared" si="231"/>
        <v>Rural Private</v>
      </c>
      <c r="CY128" s="615"/>
      <c r="CZ128" s="616"/>
    </row>
    <row r="129" spans="2:104" x14ac:dyDescent="0.25">
      <c r="B129" s="617">
        <f t="shared" si="173"/>
        <v>114</v>
      </c>
      <c r="C129" s="593" t="s">
        <v>852</v>
      </c>
      <c r="D129" s="594" t="s">
        <v>852</v>
      </c>
      <c r="E129" s="594" t="s">
        <v>853</v>
      </c>
      <c r="F129" s="407" t="s">
        <v>854</v>
      </c>
      <c r="G129" s="408" t="s">
        <v>493</v>
      </c>
      <c r="H129" s="408" t="s">
        <v>22</v>
      </c>
      <c r="I129" s="408" t="s">
        <v>26</v>
      </c>
      <c r="J129" s="408" t="s">
        <v>35</v>
      </c>
      <c r="K129" s="408" t="s">
        <v>35</v>
      </c>
      <c r="L129" s="408" t="s">
        <v>35</v>
      </c>
      <c r="M129" s="408" t="s">
        <v>37</v>
      </c>
      <c r="N129" s="595" t="str">
        <f t="shared" si="189"/>
        <v>No</v>
      </c>
      <c r="O129" s="596">
        <v>8367</v>
      </c>
      <c r="P129" s="596">
        <v>30009</v>
      </c>
      <c r="Q129" s="597">
        <v>0.12289646407615851</v>
      </c>
      <c r="R129" s="596">
        <f t="shared" si="174"/>
        <v>3687.9999904614406</v>
      </c>
      <c r="S129" s="596">
        <f t="shared" si="175"/>
        <v>12054.999990461441</v>
      </c>
      <c r="T129" s="596">
        <f t="shared" si="190"/>
        <v>12054.999990461441</v>
      </c>
      <c r="U129" s="598">
        <f t="shared" si="176"/>
        <v>2.8202951944397464E-3</v>
      </c>
      <c r="V129" s="599">
        <f t="shared" si="185"/>
        <v>0</v>
      </c>
      <c r="W129" s="600">
        <v>12344490.220886961</v>
      </c>
      <c r="X129" s="600">
        <v>0</v>
      </c>
      <c r="Y129" s="600">
        <v>6877797.904216975</v>
      </c>
      <c r="Z129" s="600">
        <f t="shared" si="177"/>
        <v>0</v>
      </c>
      <c r="AA129" s="600">
        <f t="shared" si="178"/>
        <v>12344490.220886961</v>
      </c>
      <c r="AB129" s="601">
        <f t="shared" si="191"/>
        <v>0</v>
      </c>
      <c r="AC129" s="599">
        <v>7428480.4439760139</v>
      </c>
      <c r="AD129" s="599">
        <f>MAX(IF(M129="Yes",'Assumption Inputs'!$C$40,'Assumption Inputs'!$C$41),AC129)</f>
        <v>8000000</v>
      </c>
      <c r="AE129" s="599">
        <f t="shared" si="186"/>
        <v>8000000</v>
      </c>
      <c r="AF129" s="599">
        <f t="shared" si="192"/>
        <v>0</v>
      </c>
      <c r="AG129" s="599">
        <f t="shared" si="187"/>
        <v>0</v>
      </c>
      <c r="AH129" s="599">
        <f t="shared" si="188"/>
        <v>8000000</v>
      </c>
      <c r="AI129" s="599">
        <v>32769619.804859299</v>
      </c>
      <c r="AJ129" s="599">
        <v>28425129.583972342</v>
      </c>
      <c r="AK129" s="602">
        <f t="shared" si="179"/>
        <v>0.86742323387460463</v>
      </c>
      <c r="AL129" s="603">
        <f t="shared" si="131"/>
        <v>0</v>
      </c>
      <c r="AM129" s="600">
        <f t="shared" si="180"/>
        <v>8000000</v>
      </c>
      <c r="AN129" s="600">
        <f t="shared" si="193"/>
        <v>8000000</v>
      </c>
      <c r="AO129" s="600">
        <f t="shared" si="133"/>
        <v>0</v>
      </c>
      <c r="AP129" s="600">
        <f t="shared" si="134"/>
        <v>4344490.2208869606</v>
      </c>
      <c r="AQ129" s="600">
        <f t="shared" si="181"/>
        <v>0</v>
      </c>
      <c r="AR129" s="600">
        <f t="shared" si="182"/>
        <v>8000000</v>
      </c>
      <c r="AS129" s="604">
        <f t="shared" si="194"/>
        <v>0</v>
      </c>
      <c r="AT129" s="605">
        <f t="shared" si="195"/>
        <v>0</v>
      </c>
      <c r="AU129" s="600">
        <f t="shared" si="196"/>
        <v>8000000</v>
      </c>
      <c r="AV129" s="600">
        <f t="shared" si="197"/>
        <v>8000000</v>
      </c>
      <c r="AW129" s="600">
        <f t="shared" si="198"/>
        <v>0</v>
      </c>
      <c r="AX129" s="600">
        <f t="shared" si="199"/>
        <v>4344490.2208869606</v>
      </c>
      <c r="AY129" s="600">
        <f t="shared" si="200"/>
        <v>8.5479982270457155E-12</v>
      </c>
      <c r="AZ129" s="600">
        <f t="shared" si="201"/>
        <v>8000000</v>
      </c>
      <c r="BA129" s="600">
        <f t="shared" si="202"/>
        <v>0</v>
      </c>
      <c r="BB129" s="600">
        <f t="shared" si="203"/>
        <v>0</v>
      </c>
      <c r="BC129" s="600">
        <f t="shared" si="204"/>
        <v>0</v>
      </c>
      <c r="BD129" s="600">
        <f t="shared" si="205"/>
        <v>0</v>
      </c>
      <c r="BE129" s="600">
        <f t="shared" si="206"/>
        <v>4344490.2208869606</v>
      </c>
      <c r="BF129" s="600">
        <f t="shared" si="207"/>
        <v>8000000</v>
      </c>
      <c r="BG129" s="600">
        <v>0</v>
      </c>
      <c r="BH129" s="600">
        <v>0</v>
      </c>
      <c r="BI129" s="600">
        <f t="shared" si="208"/>
        <v>0</v>
      </c>
      <c r="BJ129" s="600">
        <f t="shared" si="209"/>
        <v>8000000</v>
      </c>
      <c r="BK129" s="600">
        <f t="shared" si="210"/>
        <v>2810399.9999999995</v>
      </c>
      <c r="BL129" s="600">
        <v>8000000</v>
      </c>
      <c r="BM129" s="600">
        <f t="shared" si="211"/>
        <v>0</v>
      </c>
      <c r="BN129" s="600">
        <f t="shared" si="212"/>
        <v>0</v>
      </c>
      <c r="BO129" s="600">
        <f t="shared" si="213"/>
        <v>0</v>
      </c>
      <c r="BP129" s="600">
        <f t="shared" si="214"/>
        <v>2810399.9999999995</v>
      </c>
      <c r="BQ129" s="600">
        <f t="shared" si="215"/>
        <v>0</v>
      </c>
      <c r="BR129" s="600">
        <f t="shared" si="216"/>
        <v>0</v>
      </c>
      <c r="BT129" s="606">
        <f t="shared" si="217"/>
        <v>1</v>
      </c>
      <c r="BU129" s="607">
        <f t="shared" si="218"/>
        <v>0</v>
      </c>
      <c r="BV129" s="606">
        <f t="shared" si="219"/>
        <v>1</v>
      </c>
      <c r="BW129" s="607">
        <f t="shared" si="220"/>
        <v>0</v>
      </c>
      <c r="BX129" s="607">
        <f t="shared" si="221"/>
        <v>0</v>
      </c>
      <c r="BY129" s="607">
        <f t="shared" si="222"/>
        <v>0</v>
      </c>
      <c r="BZ129" s="607">
        <f t="shared" si="223"/>
        <v>0</v>
      </c>
      <c r="CA129" s="607">
        <f t="shared" si="224"/>
        <v>0</v>
      </c>
      <c r="CB129" s="607">
        <f t="shared" si="183"/>
        <v>0</v>
      </c>
      <c r="CC129" s="607">
        <f t="shared" si="225"/>
        <v>0</v>
      </c>
      <c r="CD129" s="607">
        <f t="shared" si="226"/>
        <v>0</v>
      </c>
      <c r="CE129" s="607">
        <f t="shared" si="227"/>
        <v>0</v>
      </c>
      <c r="CF129" s="607">
        <f t="shared" si="228"/>
        <v>0</v>
      </c>
      <c r="CG129" s="607">
        <f t="shared" si="229"/>
        <v>0</v>
      </c>
      <c r="CH129" s="607">
        <f t="shared" si="230"/>
        <v>8000000</v>
      </c>
      <c r="CI129" s="609"/>
      <c r="CK129" s="610" t="str">
        <f t="shared" si="184"/>
        <v/>
      </c>
      <c r="CL129" s="611" t="str">
        <f>IF(CK129="","",COUNTIFS($CK$16:CK129,"Yes")+MAX(State!AD:AD))</f>
        <v/>
      </c>
      <c r="CM129" s="612" t="b">
        <f>IF(C129="", "", AND(INDEX('Summary Dynamic'!$D$8:$D$10, MATCH(H129, 'Summary Dynamic'!$C$8:$C$10, 0))="Include", INDEX('Summary Dynamic'!$D$12:$D$14, MATCH(I129, 'Summary Dynamic'!$C$12:$C$14, 0))="Include", INDEX('Summary Dynamic'!$D$16:$D$17, MATCH(J129, 'Summary Dynamic'!$C$16:$C$17, 0))="Include", INDEX('Summary Dynamic'!$D$19:$D$20, MATCH(K129, 'Summary Dynamic'!$C$19:$C$20, 0))="Include", INDEX('Summary Dynamic'!$D$25:$D$26, MATCH(L129, 'Summary Dynamic'!$C$25:$C$26, 0))="Include",'Summary Dynamic'!$D$23="Include"))</f>
        <v>1</v>
      </c>
      <c r="CN129" s="613">
        <f>IFERROR(IF(CM129=TRUE, COUNTIFS($CM$16:CM129, TRUE), ""), "")</f>
        <v>114</v>
      </c>
      <c r="CP129" s="614" t="str">
        <f t="shared" si="231"/>
        <v>Non-Rural Private</v>
      </c>
      <c r="CY129" s="615"/>
      <c r="CZ129" s="616"/>
    </row>
    <row r="130" spans="2:104" x14ac:dyDescent="0.25">
      <c r="B130" s="617">
        <f t="shared" si="173"/>
        <v>115</v>
      </c>
      <c r="C130" s="405" t="s">
        <v>855</v>
      </c>
      <c r="D130" s="406" t="s">
        <v>855</v>
      </c>
      <c r="E130" s="406" t="s">
        <v>856</v>
      </c>
      <c r="F130" s="407" t="s">
        <v>857</v>
      </c>
      <c r="G130" s="408" t="s">
        <v>858</v>
      </c>
      <c r="H130" s="408" t="s">
        <v>22</v>
      </c>
      <c r="I130" s="408" t="s">
        <v>26</v>
      </c>
      <c r="J130" s="408" t="s">
        <v>35</v>
      </c>
      <c r="K130" s="408" t="s">
        <v>35</v>
      </c>
      <c r="L130" s="408" t="s">
        <v>35</v>
      </c>
      <c r="M130" s="408" t="s">
        <v>35</v>
      </c>
      <c r="N130" s="595" t="str">
        <f t="shared" si="189"/>
        <v>No</v>
      </c>
      <c r="O130" s="596">
        <v>5961</v>
      </c>
      <c r="P130" s="596">
        <v>48509</v>
      </c>
      <c r="Q130" s="597">
        <v>0.12339384813625769</v>
      </c>
      <c r="R130" s="596">
        <f t="shared" si="174"/>
        <v>5985.7121792417238</v>
      </c>
      <c r="S130" s="596">
        <f t="shared" si="175"/>
        <v>11946.712179241724</v>
      </c>
      <c r="T130" s="596">
        <f t="shared" si="190"/>
        <v>11946.712179241724</v>
      </c>
      <c r="U130" s="598">
        <f t="shared" si="176"/>
        <v>2.7949610099651701E-3</v>
      </c>
      <c r="V130" s="599">
        <f t="shared" si="185"/>
        <v>0</v>
      </c>
      <c r="W130" s="600">
        <v>18967714.972374938</v>
      </c>
      <c r="X130" s="600">
        <v>0</v>
      </c>
      <c r="Y130" s="600">
        <v>16352196.560598839</v>
      </c>
      <c r="Z130" s="600">
        <f t="shared" si="177"/>
        <v>0</v>
      </c>
      <c r="AA130" s="600">
        <f t="shared" si="178"/>
        <v>18967714.972374938</v>
      </c>
      <c r="AB130" s="601">
        <f t="shared" si="191"/>
        <v>0</v>
      </c>
      <c r="AC130" s="599">
        <v>0</v>
      </c>
      <c r="AD130" s="599">
        <f>MAX(IF(M130="Yes",'Assumption Inputs'!$C$40,'Assumption Inputs'!$C$41),AC130)</f>
        <v>6000000</v>
      </c>
      <c r="AE130" s="599">
        <f t="shared" si="186"/>
        <v>6000000</v>
      </c>
      <c r="AF130" s="599">
        <f t="shared" si="192"/>
        <v>0</v>
      </c>
      <c r="AG130" s="599">
        <f t="shared" si="187"/>
        <v>0</v>
      </c>
      <c r="AH130" s="599">
        <f t="shared" si="188"/>
        <v>6000000</v>
      </c>
      <c r="AI130" s="599">
        <v>48996837.082095027</v>
      </c>
      <c r="AJ130" s="599">
        <v>36029122.109720096</v>
      </c>
      <c r="AK130" s="602">
        <f t="shared" si="179"/>
        <v>0.73533567175678494</v>
      </c>
      <c r="AL130" s="603">
        <f t="shared" si="131"/>
        <v>0</v>
      </c>
      <c r="AM130" s="600">
        <f t="shared" si="180"/>
        <v>6000000</v>
      </c>
      <c r="AN130" s="600">
        <f t="shared" si="193"/>
        <v>6000000</v>
      </c>
      <c r="AO130" s="600">
        <f t="shared" si="133"/>
        <v>0</v>
      </c>
      <c r="AP130" s="600">
        <f t="shared" si="134"/>
        <v>12967714.972374938</v>
      </c>
      <c r="AQ130" s="600">
        <f t="shared" si="181"/>
        <v>0</v>
      </c>
      <c r="AR130" s="600">
        <f t="shared" si="182"/>
        <v>6000000</v>
      </c>
      <c r="AS130" s="604">
        <f t="shared" si="194"/>
        <v>0</v>
      </c>
      <c r="AT130" s="605">
        <f t="shared" si="195"/>
        <v>0</v>
      </c>
      <c r="AU130" s="600">
        <f t="shared" si="196"/>
        <v>6000000</v>
      </c>
      <c r="AV130" s="600">
        <f t="shared" si="197"/>
        <v>6000000</v>
      </c>
      <c r="AW130" s="600">
        <f t="shared" si="198"/>
        <v>0</v>
      </c>
      <c r="AX130" s="600">
        <f t="shared" si="199"/>
        <v>12967714.972374938</v>
      </c>
      <c r="AY130" s="600">
        <f t="shared" si="200"/>
        <v>2.551461712579587E-11</v>
      </c>
      <c r="AZ130" s="600">
        <f t="shared" si="201"/>
        <v>6000000</v>
      </c>
      <c r="BA130" s="600">
        <f t="shared" si="202"/>
        <v>0</v>
      </c>
      <c r="BB130" s="600">
        <f t="shared" si="203"/>
        <v>0</v>
      </c>
      <c r="BC130" s="600">
        <f t="shared" si="204"/>
        <v>0</v>
      </c>
      <c r="BD130" s="600">
        <f t="shared" si="205"/>
        <v>0</v>
      </c>
      <c r="BE130" s="600">
        <f t="shared" si="206"/>
        <v>12967714.972374938</v>
      </c>
      <c r="BF130" s="600">
        <f t="shared" si="207"/>
        <v>6000000</v>
      </c>
      <c r="BG130" s="600">
        <v>0</v>
      </c>
      <c r="BH130" s="600">
        <v>0</v>
      </c>
      <c r="BI130" s="600">
        <f t="shared" si="208"/>
        <v>0</v>
      </c>
      <c r="BJ130" s="600">
        <f t="shared" si="209"/>
        <v>6000000</v>
      </c>
      <c r="BK130" s="600">
        <f t="shared" si="210"/>
        <v>2107799.9999999995</v>
      </c>
      <c r="BL130" s="600">
        <v>6000000</v>
      </c>
      <c r="BM130" s="600">
        <f t="shared" si="211"/>
        <v>0</v>
      </c>
      <c r="BN130" s="600">
        <f t="shared" si="212"/>
        <v>0</v>
      </c>
      <c r="BO130" s="600">
        <f t="shared" si="213"/>
        <v>0</v>
      </c>
      <c r="BP130" s="600">
        <f t="shared" si="214"/>
        <v>2107799.9999999995</v>
      </c>
      <c r="BQ130" s="600">
        <f t="shared" si="215"/>
        <v>0</v>
      </c>
      <c r="BR130" s="600">
        <f t="shared" si="216"/>
        <v>0</v>
      </c>
      <c r="BT130" s="606">
        <f t="shared" si="217"/>
        <v>1</v>
      </c>
      <c r="BU130" s="607">
        <f t="shared" si="218"/>
        <v>0</v>
      </c>
      <c r="BV130" s="606">
        <f t="shared" si="219"/>
        <v>1</v>
      </c>
      <c r="BW130" s="607">
        <f t="shared" si="220"/>
        <v>0</v>
      </c>
      <c r="BX130" s="607">
        <f t="shared" si="221"/>
        <v>0</v>
      </c>
      <c r="BY130" s="607">
        <f t="shared" si="222"/>
        <v>0</v>
      </c>
      <c r="BZ130" s="607">
        <f t="shared" si="223"/>
        <v>0</v>
      </c>
      <c r="CA130" s="607">
        <f t="shared" si="224"/>
        <v>0</v>
      </c>
      <c r="CB130" s="607">
        <f t="shared" si="183"/>
        <v>0</v>
      </c>
      <c r="CC130" s="607">
        <f t="shared" si="225"/>
        <v>0</v>
      </c>
      <c r="CD130" s="607">
        <f t="shared" si="226"/>
        <v>0</v>
      </c>
      <c r="CE130" s="607">
        <f t="shared" si="227"/>
        <v>0</v>
      </c>
      <c r="CF130" s="607">
        <f t="shared" si="228"/>
        <v>0</v>
      </c>
      <c r="CG130" s="607">
        <f t="shared" si="229"/>
        <v>0</v>
      </c>
      <c r="CH130" s="607">
        <f t="shared" si="230"/>
        <v>6000000</v>
      </c>
      <c r="CI130" s="609"/>
      <c r="CK130" s="610" t="str">
        <f t="shared" si="184"/>
        <v/>
      </c>
      <c r="CL130" s="611" t="str">
        <f>IF(CK130="","",COUNTIFS($CK$16:CK130,"Yes")+MAX(State!AD:AD))</f>
        <v/>
      </c>
      <c r="CM130" s="612" t="b">
        <f>IF(C130="", "", AND(INDEX('Summary Dynamic'!$D$8:$D$10, MATCH(H130, 'Summary Dynamic'!$C$8:$C$10, 0))="Include", INDEX('Summary Dynamic'!$D$12:$D$14, MATCH(I130, 'Summary Dynamic'!$C$12:$C$14, 0))="Include", INDEX('Summary Dynamic'!$D$16:$D$17, MATCH(J130, 'Summary Dynamic'!$C$16:$C$17, 0))="Include", INDEX('Summary Dynamic'!$D$19:$D$20, MATCH(K130, 'Summary Dynamic'!$C$19:$C$20, 0))="Include", INDEX('Summary Dynamic'!$D$25:$D$26, MATCH(L130, 'Summary Dynamic'!$C$25:$C$26, 0))="Include",'Summary Dynamic'!$D$23="Include"))</f>
        <v>1</v>
      </c>
      <c r="CN130" s="613">
        <f>IFERROR(IF(CM130=TRUE, COUNTIFS($CM$16:CM130, TRUE), ""), "")</f>
        <v>115</v>
      </c>
      <c r="CP130" s="614" t="str">
        <f t="shared" si="231"/>
        <v>Non-Rural Private</v>
      </c>
      <c r="CY130" s="615"/>
      <c r="CZ130" s="616"/>
    </row>
    <row r="131" spans="2:104" x14ac:dyDescent="0.25">
      <c r="B131" s="617">
        <f t="shared" si="173"/>
        <v>116</v>
      </c>
      <c r="C131" s="593" t="s">
        <v>859</v>
      </c>
      <c r="D131" s="594" t="s">
        <v>859</v>
      </c>
      <c r="E131" s="594" t="s">
        <v>860</v>
      </c>
      <c r="F131" s="407" t="s">
        <v>861</v>
      </c>
      <c r="G131" s="408" t="s">
        <v>724</v>
      </c>
      <c r="H131" s="408" t="s">
        <v>22</v>
      </c>
      <c r="I131" s="408" t="s">
        <v>26</v>
      </c>
      <c r="J131" s="408" t="s">
        <v>31</v>
      </c>
      <c r="K131" s="408" t="s">
        <v>35</v>
      </c>
      <c r="L131" s="408" t="s">
        <v>35</v>
      </c>
      <c r="M131" s="408" t="s">
        <v>35</v>
      </c>
      <c r="N131" s="595" t="str">
        <f t="shared" si="189"/>
        <v>No</v>
      </c>
      <c r="O131" s="596">
        <v>35</v>
      </c>
      <c r="P131" s="596">
        <v>651</v>
      </c>
      <c r="Q131" s="597">
        <v>7.7864222584076631E-2</v>
      </c>
      <c r="R131" s="596">
        <f t="shared" si="174"/>
        <v>50.689608902233886</v>
      </c>
      <c r="S131" s="596">
        <f t="shared" si="175"/>
        <v>85.689608902233886</v>
      </c>
      <c r="T131" s="596">
        <f t="shared" si="190"/>
        <v>85.689608902233886</v>
      </c>
      <c r="U131" s="598">
        <f t="shared" si="176"/>
        <v>2.004728265380454E-5</v>
      </c>
      <c r="V131" s="599">
        <f t="shared" si="185"/>
        <v>0</v>
      </c>
      <c r="W131" s="600">
        <v>2073685.7306675264</v>
      </c>
      <c r="X131" s="600">
        <v>0</v>
      </c>
      <c r="Y131" s="600">
        <v>302873.81433755881</v>
      </c>
      <c r="Z131" s="600">
        <f t="shared" si="177"/>
        <v>0</v>
      </c>
      <c r="AA131" s="600">
        <f t="shared" si="178"/>
        <v>2073685.7306675264</v>
      </c>
      <c r="AB131" s="601">
        <f t="shared" si="191"/>
        <v>0</v>
      </c>
      <c r="AC131" s="599">
        <v>433232.3591808069</v>
      </c>
      <c r="AD131" s="599">
        <f>MAX(IF(M131="Yes",'Assumption Inputs'!$C$40,'Assumption Inputs'!$C$41),AC131)</f>
        <v>6000000</v>
      </c>
      <c r="AE131" s="599">
        <f t="shared" si="186"/>
        <v>1345199.9334840246</v>
      </c>
      <c r="AF131" s="599">
        <f t="shared" si="192"/>
        <v>0</v>
      </c>
      <c r="AG131" s="599">
        <f t="shared" si="187"/>
        <v>0</v>
      </c>
      <c r="AH131" s="599">
        <f t="shared" si="188"/>
        <v>1345199.9334840246</v>
      </c>
      <c r="AI131" s="599">
        <v>2470770.8600418456</v>
      </c>
      <c r="AJ131" s="599">
        <v>1742285.0628583436</v>
      </c>
      <c r="AK131" s="602">
        <f t="shared" si="179"/>
        <v>0.705158495688603</v>
      </c>
      <c r="AL131" s="603">
        <f t="shared" si="131"/>
        <v>0</v>
      </c>
      <c r="AM131" s="600">
        <f t="shared" si="180"/>
        <v>1345199.9334840246</v>
      </c>
      <c r="AN131" s="600">
        <f t="shared" si="193"/>
        <v>1345199.9334840246</v>
      </c>
      <c r="AO131" s="600">
        <f t="shared" si="133"/>
        <v>0</v>
      </c>
      <c r="AP131" s="600">
        <f t="shared" si="134"/>
        <v>728485.79718350177</v>
      </c>
      <c r="AQ131" s="600">
        <f t="shared" si="181"/>
        <v>0</v>
      </c>
      <c r="AR131" s="600">
        <f t="shared" si="182"/>
        <v>1345199.9334840246</v>
      </c>
      <c r="AS131" s="604">
        <f t="shared" si="194"/>
        <v>0</v>
      </c>
      <c r="AT131" s="605">
        <f t="shared" si="195"/>
        <v>0</v>
      </c>
      <c r="AU131" s="600">
        <f t="shared" si="196"/>
        <v>1345199.9334840246</v>
      </c>
      <c r="AV131" s="600">
        <f t="shared" si="197"/>
        <v>1345199.9334840246</v>
      </c>
      <c r="AW131" s="600">
        <f t="shared" si="198"/>
        <v>0</v>
      </c>
      <c r="AX131" s="600">
        <f t="shared" si="199"/>
        <v>728485.79718350177</v>
      </c>
      <c r="AY131" s="600">
        <f t="shared" si="200"/>
        <v>1.4333316421831534E-12</v>
      </c>
      <c r="AZ131" s="600">
        <f t="shared" si="201"/>
        <v>1345199.9334840246</v>
      </c>
      <c r="BA131" s="600">
        <f t="shared" si="202"/>
        <v>0</v>
      </c>
      <c r="BB131" s="600">
        <f t="shared" si="203"/>
        <v>0</v>
      </c>
      <c r="BC131" s="600">
        <f t="shared" si="204"/>
        <v>0</v>
      </c>
      <c r="BD131" s="600">
        <f t="shared" si="205"/>
        <v>0</v>
      </c>
      <c r="BE131" s="600">
        <f t="shared" si="206"/>
        <v>728485.79718350177</v>
      </c>
      <c r="BF131" s="600">
        <f t="shared" si="207"/>
        <v>1345199.9334840246</v>
      </c>
      <c r="BG131" s="600">
        <v>0</v>
      </c>
      <c r="BH131" s="600">
        <v>0</v>
      </c>
      <c r="BI131" s="600">
        <f t="shared" si="208"/>
        <v>0</v>
      </c>
      <c r="BJ131" s="600">
        <f t="shared" si="209"/>
        <v>1345199.93</v>
      </c>
      <c r="BK131" s="600">
        <f t="shared" si="210"/>
        <v>472568.7354089999</v>
      </c>
      <c r="BL131" s="600">
        <v>1345199.93</v>
      </c>
      <c r="BM131" s="600">
        <f t="shared" si="211"/>
        <v>0</v>
      </c>
      <c r="BN131" s="600">
        <f t="shared" si="212"/>
        <v>0</v>
      </c>
      <c r="BO131" s="600">
        <f t="shared" si="213"/>
        <v>0</v>
      </c>
      <c r="BP131" s="600">
        <f t="shared" si="214"/>
        <v>472568.7354089999</v>
      </c>
      <c r="BQ131" s="600">
        <f t="shared" si="215"/>
        <v>0</v>
      </c>
      <c r="BR131" s="600">
        <f t="shared" si="216"/>
        <v>0</v>
      </c>
      <c r="BT131" s="606">
        <f t="shared" si="217"/>
        <v>1</v>
      </c>
      <c r="BU131" s="607">
        <f t="shared" si="218"/>
        <v>0</v>
      </c>
      <c r="BV131" s="606">
        <f t="shared" si="219"/>
        <v>1.2496039364840386</v>
      </c>
      <c r="BW131" s="607">
        <f t="shared" si="220"/>
        <v>0</v>
      </c>
      <c r="BX131" s="607">
        <f t="shared" si="221"/>
        <v>0</v>
      </c>
      <c r="BY131" s="607">
        <f t="shared" si="222"/>
        <v>0</v>
      </c>
      <c r="BZ131" s="607">
        <f t="shared" si="223"/>
        <v>0</v>
      </c>
      <c r="CA131" s="607">
        <f t="shared" si="224"/>
        <v>0</v>
      </c>
      <c r="CB131" s="607">
        <f t="shared" si="183"/>
        <v>0</v>
      </c>
      <c r="CC131" s="607">
        <f t="shared" si="225"/>
        <v>255917.06055056414</v>
      </c>
      <c r="CD131" s="607">
        <f t="shared" si="226"/>
        <v>728485.79718350177</v>
      </c>
      <c r="CE131" s="607">
        <f t="shared" si="227"/>
        <v>728485.79718350177</v>
      </c>
      <c r="CF131" s="607">
        <f t="shared" si="228"/>
        <v>351110.46</v>
      </c>
      <c r="CG131" s="607">
        <f t="shared" si="229"/>
        <v>0</v>
      </c>
      <c r="CH131" s="607">
        <f t="shared" si="230"/>
        <v>1696310.39</v>
      </c>
      <c r="CI131" s="609"/>
      <c r="CK131" s="610" t="str">
        <f t="shared" si="184"/>
        <v/>
      </c>
      <c r="CL131" s="611" t="str">
        <f>IF(CK131="","",COUNTIFS($CK$16:CK131,"Yes")+MAX(State!AD:AD))</f>
        <v/>
      </c>
      <c r="CM131" s="612" t="b">
        <f>IF(C131="", "", AND(INDEX('Summary Dynamic'!$D$8:$D$10, MATCH(H131, 'Summary Dynamic'!$C$8:$C$10, 0))="Include", INDEX('Summary Dynamic'!$D$12:$D$14, MATCH(I131, 'Summary Dynamic'!$C$12:$C$14, 0))="Include", INDEX('Summary Dynamic'!$D$16:$D$17, MATCH(J131, 'Summary Dynamic'!$C$16:$C$17, 0))="Include", INDEX('Summary Dynamic'!$D$19:$D$20, MATCH(K131, 'Summary Dynamic'!$C$19:$C$20, 0))="Include", INDEX('Summary Dynamic'!$D$25:$D$26, MATCH(L131, 'Summary Dynamic'!$C$25:$C$26, 0))="Include",'Summary Dynamic'!$D$23="Include"))</f>
        <v>1</v>
      </c>
      <c r="CN131" s="613">
        <f>IFERROR(IF(CM131=TRUE, COUNTIFS($CM$16:CM131, TRUE), ""), "")</f>
        <v>116</v>
      </c>
      <c r="CP131" s="614" t="str">
        <f t="shared" si="231"/>
        <v>Rural Private</v>
      </c>
      <c r="CY131" s="615"/>
      <c r="CZ131" s="616"/>
    </row>
    <row r="132" spans="2:104" x14ac:dyDescent="0.25">
      <c r="B132" s="617">
        <f t="shared" si="173"/>
        <v>117</v>
      </c>
      <c r="C132" s="593" t="s">
        <v>862</v>
      </c>
      <c r="D132" s="594" t="s">
        <v>862</v>
      </c>
      <c r="E132" s="594" t="s">
        <v>863</v>
      </c>
      <c r="F132" s="407" t="s">
        <v>864</v>
      </c>
      <c r="G132" s="408" t="s">
        <v>865</v>
      </c>
      <c r="H132" s="408" t="s">
        <v>22</v>
      </c>
      <c r="I132" s="408" t="s">
        <v>28</v>
      </c>
      <c r="J132" s="408" t="s">
        <v>31</v>
      </c>
      <c r="K132" s="408" t="s">
        <v>35</v>
      </c>
      <c r="L132" s="408" t="s">
        <v>35</v>
      </c>
      <c r="M132" s="408" t="s">
        <v>35</v>
      </c>
      <c r="N132" s="595" t="str">
        <f t="shared" si="189"/>
        <v>Yes</v>
      </c>
      <c r="O132" s="596">
        <v>501</v>
      </c>
      <c r="P132" s="596">
        <v>2593</v>
      </c>
      <c r="Q132" s="597">
        <v>0.44926388970728992</v>
      </c>
      <c r="R132" s="596">
        <f t="shared" si="174"/>
        <v>1164.9412660110027</v>
      </c>
      <c r="S132" s="596">
        <f t="shared" si="175"/>
        <v>1665.9412660110027</v>
      </c>
      <c r="T132" s="596">
        <f t="shared" si="190"/>
        <v>2251.1864327606677</v>
      </c>
      <c r="U132" s="598">
        <f t="shared" si="176"/>
        <v>5.2667028478859746E-4</v>
      </c>
      <c r="V132" s="599">
        <f t="shared" si="185"/>
        <v>0</v>
      </c>
      <c r="W132" s="600">
        <v>3528848.7343722479</v>
      </c>
      <c r="X132" s="600">
        <v>0</v>
      </c>
      <c r="Y132" s="600">
        <v>806988.33605485456</v>
      </c>
      <c r="Z132" s="600">
        <f t="shared" si="177"/>
        <v>0</v>
      </c>
      <c r="AA132" s="600">
        <f t="shared" si="178"/>
        <v>3528848.7343722479</v>
      </c>
      <c r="AB132" s="601">
        <f t="shared" si="191"/>
        <v>0</v>
      </c>
      <c r="AC132" s="599">
        <v>484930.18751505064</v>
      </c>
      <c r="AD132" s="599">
        <f>MAX(IF(M132="Yes",'Assumption Inputs'!$C$40,'Assumption Inputs'!$C$41),AC132)</f>
        <v>6000000</v>
      </c>
      <c r="AE132" s="599">
        <f t="shared" si="186"/>
        <v>2289164.1739872773</v>
      </c>
      <c r="AF132" s="599">
        <f t="shared" si="192"/>
        <v>1239684.5603849706</v>
      </c>
      <c r="AG132" s="599">
        <f t="shared" si="187"/>
        <v>0</v>
      </c>
      <c r="AH132" s="599">
        <f t="shared" si="188"/>
        <v>3528848.7343722479</v>
      </c>
      <c r="AI132" s="599">
        <v>7659055.4538240694</v>
      </c>
      <c r="AJ132" s="599">
        <v>7659055.4538240694</v>
      </c>
      <c r="AK132" s="602">
        <f t="shared" si="179"/>
        <v>1</v>
      </c>
      <c r="AL132" s="603">
        <f t="shared" si="131"/>
        <v>0</v>
      </c>
      <c r="AM132" s="600">
        <f t="shared" si="180"/>
        <v>2289164.1739872773</v>
      </c>
      <c r="AN132" s="600">
        <f t="shared" si="193"/>
        <v>2289164.1739872773</v>
      </c>
      <c r="AO132" s="600">
        <f t="shared" si="133"/>
        <v>0</v>
      </c>
      <c r="AP132" s="600">
        <f t="shared" si="134"/>
        <v>1239684.5603849706</v>
      </c>
      <c r="AQ132" s="600">
        <f t="shared" si="181"/>
        <v>0</v>
      </c>
      <c r="AR132" s="600">
        <f t="shared" si="182"/>
        <v>2289164.1739872773</v>
      </c>
      <c r="AS132" s="604">
        <f t="shared" si="194"/>
        <v>1239684.5603849706</v>
      </c>
      <c r="AT132" s="605">
        <f t="shared" si="195"/>
        <v>0</v>
      </c>
      <c r="AU132" s="600">
        <f t="shared" si="196"/>
        <v>3528848.7343722479</v>
      </c>
      <c r="AV132" s="600">
        <f t="shared" si="197"/>
        <v>3528848.7343722479</v>
      </c>
      <c r="AW132" s="600">
        <f t="shared" si="198"/>
        <v>0</v>
      </c>
      <c r="AX132" s="600">
        <f t="shared" si="199"/>
        <v>0</v>
      </c>
      <c r="AY132" s="600">
        <f t="shared" si="200"/>
        <v>0</v>
      </c>
      <c r="AZ132" s="600">
        <f t="shared" si="201"/>
        <v>3528848.7343722479</v>
      </c>
      <c r="BA132" s="600">
        <f t="shared" si="202"/>
        <v>0</v>
      </c>
      <c r="BB132" s="600">
        <f t="shared" si="203"/>
        <v>0</v>
      </c>
      <c r="BC132" s="600">
        <f t="shared" si="204"/>
        <v>0</v>
      </c>
      <c r="BD132" s="600">
        <f t="shared" si="205"/>
        <v>1239684.5603849706</v>
      </c>
      <c r="BE132" s="600">
        <f t="shared" si="206"/>
        <v>0</v>
      </c>
      <c r="BF132" s="600">
        <f t="shared" si="207"/>
        <v>2289164.1739872773</v>
      </c>
      <c r="BG132" s="600">
        <v>0</v>
      </c>
      <c r="BH132" s="600">
        <v>0</v>
      </c>
      <c r="BI132" s="600">
        <f t="shared" si="208"/>
        <v>0</v>
      </c>
      <c r="BJ132" s="600">
        <f t="shared" si="209"/>
        <v>3528848.73</v>
      </c>
      <c r="BK132" s="600">
        <f t="shared" si="210"/>
        <v>1239684.5588489999</v>
      </c>
      <c r="BL132" s="600">
        <v>3528848.73</v>
      </c>
      <c r="BM132" s="600">
        <f t="shared" si="211"/>
        <v>0</v>
      </c>
      <c r="BN132" s="600">
        <f t="shared" si="212"/>
        <v>0</v>
      </c>
      <c r="BO132" s="600">
        <f t="shared" si="213"/>
        <v>1239684.56</v>
      </c>
      <c r="BP132" s="600">
        <f t="shared" si="214"/>
        <v>1239684.5588489999</v>
      </c>
      <c r="BQ132" s="600">
        <f t="shared" si="215"/>
        <v>0</v>
      </c>
      <c r="BR132" s="600">
        <f t="shared" si="216"/>
        <v>1239684.56</v>
      </c>
      <c r="BT132" s="606">
        <f t="shared" si="217"/>
        <v>1.4607420263863073</v>
      </c>
      <c r="BU132" s="607">
        <f t="shared" si="218"/>
        <v>0</v>
      </c>
      <c r="BV132" s="606">
        <f t="shared" si="219"/>
        <v>1</v>
      </c>
      <c r="BW132" s="607">
        <f t="shared" si="220"/>
        <v>0</v>
      </c>
      <c r="BX132" s="607">
        <f t="shared" si="221"/>
        <v>0</v>
      </c>
      <c r="BY132" s="607">
        <f t="shared" si="222"/>
        <v>0</v>
      </c>
      <c r="BZ132" s="607">
        <f t="shared" si="223"/>
        <v>0</v>
      </c>
      <c r="CA132" s="607">
        <f t="shared" si="224"/>
        <v>0</v>
      </c>
      <c r="CB132" s="607">
        <f t="shared" si="183"/>
        <v>0</v>
      </c>
      <c r="CC132" s="607">
        <f t="shared" si="225"/>
        <v>0</v>
      </c>
      <c r="CD132" s="607">
        <f t="shared" si="226"/>
        <v>0</v>
      </c>
      <c r="CE132" s="607">
        <f t="shared" si="227"/>
        <v>0</v>
      </c>
      <c r="CF132" s="607">
        <f t="shared" si="228"/>
        <v>0</v>
      </c>
      <c r="CG132" s="607">
        <f t="shared" si="229"/>
        <v>0</v>
      </c>
      <c r="CH132" s="607">
        <f t="shared" si="230"/>
        <v>3528848.73</v>
      </c>
      <c r="CI132" s="609"/>
      <c r="CK132" s="610" t="str">
        <f t="shared" si="184"/>
        <v/>
      </c>
      <c r="CL132" s="611" t="str">
        <f>IF(CK132="","",COUNTIFS($CK$16:CK132,"Yes")+MAX(State!AD:AD))</f>
        <v/>
      </c>
      <c r="CM132" s="612" t="b">
        <f>IF(C132="", "", AND(INDEX('Summary Dynamic'!$D$8:$D$10, MATCH(H132, 'Summary Dynamic'!$C$8:$C$10, 0))="Include", INDEX('Summary Dynamic'!$D$12:$D$14, MATCH(I132, 'Summary Dynamic'!$C$12:$C$14, 0))="Include", INDEX('Summary Dynamic'!$D$16:$D$17, MATCH(J132, 'Summary Dynamic'!$C$16:$C$17, 0))="Include", INDEX('Summary Dynamic'!$D$19:$D$20, MATCH(K132, 'Summary Dynamic'!$C$19:$C$20, 0))="Include", INDEX('Summary Dynamic'!$D$25:$D$26, MATCH(L132, 'Summary Dynamic'!$C$25:$C$26, 0))="Include",'Summary Dynamic'!$D$23="Include"))</f>
        <v>1</v>
      </c>
      <c r="CN132" s="613">
        <f>IFERROR(IF(CM132=TRUE, COUNTIFS($CM$16:CM132, TRUE), ""), "")</f>
        <v>117</v>
      </c>
      <c r="CP132" s="614" t="str">
        <f t="shared" si="231"/>
        <v>Rural Public</v>
      </c>
      <c r="CY132" s="615"/>
      <c r="CZ132" s="616"/>
    </row>
    <row r="133" spans="2:104" x14ac:dyDescent="0.25">
      <c r="B133" s="617">
        <f t="shared" si="173"/>
        <v>118</v>
      </c>
      <c r="C133" s="593" t="s">
        <v>866</v>
      </c>
      <c r="D133" s="594" t="s">
        <v>866</v>
      </c>
      <c r="E133" s="594" t="s">
        <v>867</v>
      </c>
      <c r="F133" s="407" t="s">
        <v>868</v>
      </c>
      <c r="G133" s="408" t="s">
        <v>291</v>
      </c>
      <c r="H133" s="408" t="s">
        <v>22</v>
      </c>
      <c r="I133" s="408" t="s">
        <v>26</v>
      </c>
      <c r="J133" s="408" t="s">
        <v>35</v>
      </c>
      <c r="K133" s="408" t="s">
        <v>35</v>
      </c>
      <c r="L133" s="408" t="s">
        <v>35</v>
      </c>
      <c r="M133" s="408" t="s">
        <v>37</v>
      </c>
      <c r="N133" s="595" t="str">
        <f t="shared" si="189"/>
        <v>No</v>
      </c>
      <c r="O133" s="596">
        <v>17947</v>
      </c>
      <c r="P133" s="596">
        <v>95878</v>
      </c>
      <c r="Q133" s="597">
        <v>0.15953423153473137</v>
      </c>
      <c r="R133" s="596">
        <f t="shared" si="174"/>
        <v>15295.823051086974</v>
      </c>
      <c r="S133" s="596">
        <f t="shared" si="175"/>
        <v>33242.823051086976</v>
      </c>
      <c r="T133" s="596">
        <f t="shared" si="190"/>
        <v>33242.823051086976</v>
      </c>
      <c r="U133" s="598">
        <f t="shared" si="176"/>
        <v>7.7772355184384107E-3</v>
      </c>
      <c r="V133" s="599">
        <f t="shared" si="185"/>
        <v>0</v>
      </c>
      <c r="W133" s="600">
        <v>2227004.9117741478</v>
      </c>
      <c r="X133" s="600">
        <v>0</v>
      </c>
      <c r="Y133" s="600">
        <v>9416413.0235598907</v>
      </c>
      <c r="Z133" s="600">
        <f t="shared" si="177"/>
        <v>0</v>
      </c>
      <c r="AA133" s="600">
        <f t="shared" si="178"/>
        <v>2227004.9117741478</v>
      </c>
      <c r="AB133" s="601">
        <f t="shared" si="191"/>
        <v>0</v>
      </c>
      <c r="AC133" s="599">
        <v>0</v>
      </c>
      <c r="AD133" s="599">
        <f>MAX(IF(M133="Yes",'Assumption Inputs'!$C$40,'Assumption Inputs'!$C$41),AC133)</f>
        <v>8000000</v>
      </c>
      <c r="AE133" s="599">
        <f t="shared" si="186"/>
        <v>1444658.0862678899</v>
      </c>
      <c r="AF133" s="599">
        <f t="shared" si="192"/>
        <v>0</v>
      </c>
      <c r="AG133" s="599">
        <f t="shared" si="187"/>
        <v>0</v>
      </c>
      <c r="AH133" s="599">
        <f t="shared" si="188"/>
        <v>1444658.0862678899</v>
      </c>
      <c r="AI133" s="599">
        <v>115986949.55994016</v>
      </c>
      <c r="AJ133" s="599">
        <v>115204602.73443392</v>
      </c>
      <c r="AK133" s="602">
        <f t="shared" si="179"/>
        <v>0.99325487196210871</v>
      </c>
      <c r="AL133" s="603">
        <f t="shared" si="131"/>
        <v>0</v>
      </c>
      <c r="AM133" s="600">
        <f t="shared" si="180"/>
        <v>1444658.0862678899</v>
      </c>
      <c r="AN133" s="600">
        <f t="shared" si="193"/>
        <v>1444658.0862678899</v>
      </c>
      <c r="AO133" s="600">
        <f t="shared" si="133"/>
        <v>0</v>
      </c>
      <c r="AP133" s="600">
        <f t="shared" si="134"/>
        <v>782346.82550625782</v>
      </c>
      <c r="AQ133" s="600">
        <f t="shared" si="181"/>
        <v>0</v>
      </c>
      <c r="AR133" s="600">
        <f t="shared" si="182"/>
        <v>1444658.0862678899</v>
      </c>
      <c r="AS133" s="604">
        <f t="shared" si="194"/>
        <v>0</v>
      </c>
      <c r="AT133" s="605">
        <f t="shared" si="195"/>
        <v>0</v>
      </c>
      <c r="AU133" s="600">
        <f t="shared" si="196"/>
        <v>1444658.0862678899</v>
      </c>
      <c r="AV133" s="600">
        <f t="shared" si="197"/>
        <v>1444658.0862678899</v>
      </c>
      <c r="AW133" s="600">
        <f t="shared" si="198"/>
        <v>0</v>
      </c>
      <c r="AX133" s="600">
        <f t="shared" si="199"/>
        <v>782346.82550625782</v>
      </c>
      <c r="AY133" s="600">
        <f t="shared" si="200"/>
        <v>1.5393058649806402E-12</v>
      </c>
      <c r="AZ133" s="600">
        <f t="shared" si="201"/>
        <v>1444658.0862678899</v>
      </c>
      <c r="BA133" s="600">
        <f t="shared" si="202"/>
        <v>0</v>
      </c>
      <c r="BB133" s="600">
        <f t="shared" si="203"/>
        <v>0</v>
      </c>
      <c r="BC133" s="600">
        <f t="shared" si="204"/>
        <v>0</v>
      </c>
      <c r="BD133" s="600">
        <f t="shared" si="205"/>
        <v>0</v>
      </c>
      <c r="BE133" s="600">
        <f t="shared" si="206"/>
        <v>782346.82550625782</v>
      </c>
      <c r="BF133" s="600">
        <f t="shared" si="207"/>
        <v>1444658.0862678899</v>
      </c>
      <c r="BG133" s="600">
        <v>0</v>
      </c>
      <c r="BH133" s="600">
        <v>0</v>
      </c>
      <c r="BI133" s="600">
        <f t="shared" si="208"/>
        <v>0</v>
      </c>
      <c r="BJ133" s="600">
        <f t="shared" si="209"/>
        <v>1444658.09</v>
      </c>
      <c r="BK133" s="600">
        <f t="shared" si="210"/>
        <v>507508.38701699994</v>
      </c>
      <c r="BL133" s="600">
        <v>1444658.09</v>
      </c>
      <c r="BM133" s="600">
        <f t="shared" si="211"/>
        <v>0</v>
      </c>
      <c r="BN133" s="600">
        <f t="shared" si="212"/>
        <v>0</v>
      </c>
      <c r="BO133" s="600">
        <f t="shared" si="213"/>
        <v>0</v>
      </c>
      <c r="BP133" s="600">
        <f t="shared" si="214"/>
        <v>507508.38701699994</v>
      </c>
      <c r="BQ133" s="600">
        <f t="shared" si="215"/>
        <v>0</v>
      </c>
      <c r="BR133" s="600">
        <f t="shared" si="216"/>
        <v>0</v>
      </c>
      <c r="BT133" s="606">
        <f t="shared" si="217"/>
        <v>1</v>
      </c>
      <c r="BU133" s="607">
        <f t="shared" si="218"/>
        <v>0</v>
      </c>
      <c r="BV133" s="606">
        <f t="shared" si="219"/>
        <v>1</v>
      </c>
      <c r="BW133" s="607">
        <f t="shared" si="220"/>
        <v>0</v>
      </c>
      <c r="BX133" s="607">
        <f t="shared" si="221"/>
        <v>0</v>
      </c>
      <c r="BY133" s="607">
        <f t="shared" si="222"/>
        <v>0</v>
      </c>
      <c r="BZ133" s="607">
        <f t="shared" si="223"/>
        <v>0</v>
      </c>
      <c r="CA133" s="607">
        <f t="shared" si="224"/>
        <v>0</v>
      </c>
      <c r="CB133" s="607">
        <f t="shared" si="183"/>
        <v>0</v>
      </c>
      <c r="CC133" s="607">
        <f t="shared" si="225"/>
        <v>0</v>
      </c>
      <c r="CD133" s="607">
        <f t="shared" si="226"/>
        <v>0</v>
      </c>
      <c r="CE133" s="607">
        <f t="shared" si="227"/>
        <v>0</v>
      </c>
      <c r="CF133" s="607">
        <f t="shared" si="228"/>
        <v>0</v>
      </c>
      <c r="CG133" s="607">
        <f t="shared" si="229"/>
        <v>0</v>
      </c>
      <c r="CH133" s="607">
        <f t="shared" si="230"/>
        <v>1444658.09</v>
      </c>
      <c r="CI133" s="609"/>
      <c r="CK133" s="610" t="str">
        <f t="shared" si="184"/>
        <v/>
      </c>
      <c r="CL133" s="611" t="str">
        <f>IF(CK133="","",COUNTIFS($CK$16:CK133,"Yes")+MAX(State!AD:AD))</f>
        <v/>
      </c>
      <c r="CM133" s="612" t="b">
        <f>IF(C133="", "", AND(INDEX('Summary Dynamic'!$D$8:$D$10, MATCH(H133, 'Summary Dynamic'!$C$8:$C$10, 0))="Include", INDEX('Summary Dynamic'!$D$12:$D$14, MATCH(I133, 'Summary Dynamic'!$C$12:$C$14, 0))="Include", INDEX('Summary Dynamic'!$D$16:$D$17, MATCH(J133, 'Summary Dynamic'!$C$16:$C$17, 0))="Include", INDEX('Summary Dynamic'!$D$19:$D$20, MATCH(K133, 'Summary Dynamic'!$C$19:$C$20, 0))="Include", INDEX('Summary Dynamic'!$D$25:$D$26, MATCH(L133, 'Summary Dynamic'!$C$25:$C$26, 0))="Include",'Summary Dynamic'!$D$23="Include"))</f>
        <v>1</v>
      </c>
      <c r="CN133" s="613">
        <f>IFERROR(IF(CM133=TRUE, COUNTIFS($CM$16:CM133, TRUE), ""), "")</f>
        <v>118</v>
      </c>
      <c r="CP133" s="614" t="str">
        <f t="shared" si="231"/>
        <v>Non-Rural Private</v>
      </c>
      <c r="CY133" s="615"/>
      <c r="CZ133" s="616"/>
    </row>
    <row r="134" spans="2:104" x14ac:dyDescent="0.25">
      <c r="B134" s="617">
        <f t="shared" si="173"/>
        <v>119</v>
      </c>
      <c r="C134" s="593" t="s">
        <v>869</v>
      </c>
      <c r="D134" s="594" t="s">
        <v>869</v>
      </c>
      <c r="E134" s="594" t="s">
        <v>870</v>
      </c>
      <c r="F134" s="407" t="s">
        <v>871</v>
      </c>
      <c r="G134" s="408" t="s">
        <v>291</v>
      </c>
      <c r="H134" s="408" t="s">
        <v>22</v>
      </c>
      <c r="I134" s="408" t="s">
        <v>26</v>
      </c>
      <c r="J134" s="408" t="s">
        <v>35</v>
      </c>
      <c r="K134" s="408" t="s">
        <v>35</v>
      </c>
      <c r="L134" s="408" t="s">
        <v>35</v>
      </c>
      <c r="M134" s="408" t="s">
        <v>35</v>
      </c>
      <c r="N134" s="595" t="str">
        <f t="shared" si="189"/>
        <v>No</v>
      </c>
      <c r="O134" s="596">
        <v>13317</v>
      </c>
      <c r="P134" s="596">
        <v>50650</v>
      </c>
      <c r="Q134" s="597">
        <v>0.21294217387510767</v>
      </c>
      <c r="R134" s="596">
        <f t="shared" si="174"/>
        <v>10785.521106774204</v>
      </c>
      <c r="S134" s="596">
        <f t="shared" si="175"/>
        <v>24102.521106774206</v>
      </c>
      <c r="T134" s="596">
        <f t="shared" si="190"/>
        <v>24102.521106774206</v>
      </c>
      <c r="U134" s="598">
        <f t="shared" si="176"/>
        <v>5.638840688934406E-3</v>
      </c>
      <c r="V134" s="599">
        <f t="shared" si="185"/>
        <v>0</v>
      </c>
      <c r="W134" s="600">
        <v>938450.23044804879</v>
      </c>
      <c r="X134" s="600">
        <v>0</v>
      </c>
      <c r="Y134" s="600">
        <v>7596682.2874675188</v>
      </c>
      <c r="Z134" s="600">
        <f t="shared" si="177"/>
        <v>0</v>
      </c>
      <c r="AA134" s="600">
        <f t="shared" si="178"/>
        <v>938450.23044804879</v>
      </c>
      <c r="AB134" s="601">
        <f t="shared" si="191"/>
        <v>0</v>
      </c>
      <c r="AC134" s="599">
        <v>0</v>
      </c>
      <c r="AD134" s="599">
        <f>MAX(IF(M134="Yes",'Assumption Inputs'!$C$40,'Assumption Inputs'!$C$41),AC134)</f>
        <v>6000000</v>
      </c>
      <c r="AE134" s="599">
        <f t="shared" si="186"/>
        <v>608772.66449164937</v>
      </c>
      <c r="AF134" s="599">
        <f t="shared" si="192"/>
        <v>0</v>
      </c>
      <c r="AG134" s="599">
        <f t="shared" si="187"/>
        <v>0</v>
      </c>
      <c r="AH134" s="599">
        <f t="shared" si="188"/>
        <v>608772.66449164937</v>
      </c>
      <c r="AI134" s="599">
        <v>69017131.791698009</v>
      </c>
      <c r="AJ134" s="599">
        <v>68687454.22574161</v>
      </c>
      <c r="AK134" s="602">
        <f t="shared" si="179"/>
        <v>0.99522325026558034</v>
      </c>
      <c r="AL134" s="603">
        <f t="shared" si="131"/>
        <v>0</v>
      </c>
      <c r="AM134" s="600">
        <f t="shared" si="180"/>
        <v>608772.66449164937</v>
      </c>
      <c r="AN134" s="600">
        <f t="shared" si="193"/>
        <v>608772.66449164937</v>
      </c>
      <c r="AO134" s="600">
        <f t="shared" si="133"/>
        <v>0</v>
      </c>
      <c r="AP134" s="600">
        <f t="shared" si="134"/>
        <v>329677.56595639943</v>
      </c>
      <c r="AQ134" s="600">
        <f t="shared" si="181"/>
        <v>0</v>
      </c>
      <c r="AR134" s="600">
        <f t="shared" si="182"/>
        <v>608772.66449164937</v>
      </c>
      <c r="AS134" s="604">
        <f t="shared" si="194"/>
        <v>0</v>
      </c>
      <c r="AT134" s="605">
        <f t="shared" si="195"/>
        <v>0</v>
      </c>
      <c r="AU134" s="600">
        <f t="shared" si="196"/>
        <v>608772.66449164937</v>
      </c>
      <c r="AV134" s="600">
        <f t="shared" si="197"/>
        <v>608772.66449164937</v>
      </c>
      <c r="AW134" s="600">
        <f t="shared" si="198"/>
        <v>0</v>
      </c>
      <c r="AX134" s="600">
        <f t="shared" si="199"/>
        <v>329677.56595639943</v>
      </c>
      <c r="AY134" s="600">
        <f t="shared" si="200"/>
        <v>6.4865682876752241E-13</v>
      </c>
      <c r="AZ134" s="600">
        <f t="shared" si="201"/>
        <v>608772.66449164937</v>
      </c>
      <c r="BA134" s="600">
        <f t="shared" si="202"/>
        <v>0</v>
      </c>
      <c r="BB134" s="600">
        <f t="shared" si="203"/>
        <v>0</v>
      </c>
      <c r="BC134" s="600">
        <f t="shared" si="204"/>
        <v>0</v>
      </c>
      <c r="BD134" s="600">
        <f t="shared" si="205"/>
        <v>0</v>
      </c>
      <c r="BE134" s="600">
        <f t="shared" si="206"/>
        <v>329677.56595639943</v>
      </c>
      <c r="BF134" s="600">
        <f t="shared" si="207"/>
        <v>608772.66449164937</v>
      </c>
      <c r="BG134" s="600">
        <v>0</v>
      </c>
      <c r="BH134" s="600">
        <v>0</v>
      </c>
      <c r="BI134" s="600">
        <f t="shared" si="208"/>
        <v>0</v>
      </c>
      <c r="BJ134" s="600">
        <f t="shared" si="209"/>
        <v>608772.66</v>
      </c>
      <c r="BK134" s="600">
        <f t="shared" si="210"/>
        <v>213861.83545799999</v>
      </c>
      <c r="BL134" s="600">
        <v>608772.66</v>
      </c>
      <c r="BM134" s="600">
        <f t="shared" si="211"/>
        <v>0</v>
      </c>
      <c r="BN134" s="600">
        <f t="shared" si="212"/>
        <v>0</v>
      </c>
      <c r="BO134" s="600">
        <f t="shared" si="213"/>
        <v>0</v>
      </c>
      <c r="BP134" s="600">
        <f t="shared" si="214"/>
        <v>213861.83545799999</v>
      </c>
      <c r="BQ134" s="600">
        <f t="shared" si="215"/>
        <v>0</v>
      </c>
      <c r="BR134" s="600">
        <f t="shared" si="216"/>
        <v>0</v>
      </c>
      <c r="BT134" s="606">
        <f t="shared" si="217"/>
        <v>1</v>
      </c>
      <c r="BU134" s="607">
        <f t="shared" si="218"/>
        <v>0</v>
      </c>
      <c r="BV134" s="606">
        <f t="shared" si="219"/>
        <v>1</v>
      </c>
      <c r="BW134" s="607">
        <f t="shared" si="220"/>
        <v>0</v>
      </c>
      <c r="BX134" s="607">
        <f t="shared" si="221"/>
        <v>0</v>
      </c>
      <c r="BY134" s="607">
        <f t="shared" si="222"/>
        <v>0</v>
      </c>
      <c r="BZ134" s="607">
        <f t="shared" si="223"/>
        <v>0</v>
      </c>
      <c r="CA134" s="607">
        <f t="shared" si="224"/>
        <v>0</v>
      </c>
      <c r="CB134" s="607">
        <f t="shared" si="183"/>
        <v>0</v>
      </c>
      <c r="CC134" s="607">
        <f t="shared" si="225"/>
        <v>0</v>
      </c>
      <c r="CD134" s="607">
        <f t="shared" si="226"/>
        <v>0</v>
      </c>
      <c r="CE134" s="607">
        <f t="shared" si="227"/>
        <v>0</v>
      </c>
      <c r="CF134" s="607">
        <f t="shared" si="228"/>
        <v>0</v>
      </c>
      <c r="CG134" s="607">
        <f t="shared" si="229"/>
        <v>0</v>
      </c>
      <c r="CH134" s="607">
        <f t="shared" si="230"/>
        <v>608772.66</v>
      </c>
      <c r="CI134" s="609"/>
      <c r="CK134" s="610" t="str">
        <f t="shared" si="184"/>
        <v/>
      </c>
      <c r="CL134" s="611" t="str">
        <f>IF(CK134="","",COUNTIFS($CK$16:CK134,"Yes")+MAX(State!AD:AD))</f>
        <v/>
      </c>
      <c r="CM134" s="612" t="b">
        <f>IF(C134="", "", AND(INDEX('Summary Dynamic'!$D$8:$D$10, MATCH(H134, 'Summary Dynamic'!$C$8:$C$10, 0))="Include", INDEX('Summary Dynamic'!$D$12:$D$14, MATCH(I134, 'Summary Dynamic'!$C$12:$C$14, 0))="Include", INDEX('Summary Dynamic'!$D$16:$D$17, MATCH(J134, 'Summary Dynamic'!$C$16:$C$17, 0))="Include", INDEX('Summary Dynamic'!$D$19:$D$20, MATCH(K134, 'Summary Dynamic'!$C$19:$C$20, 0))="Include", INDEX('Summary Dynamic'!$D$25:$D$26, MATCH(L134, 'Summary Dynamic'!$C$25:$C$26, 0))="Include",'Summary Dynamic'!$D$23="Include"))</f>
        <v>1</v>
      </c>
      <c r="CN134" s="613">
        <f>IFERROR(IF(CM134=TRUE, COUNTIFS($CM$16:CM134, TRUE), ""), "")</f>
        <v>119</v>
      </c>
      <c r="CP134" s="614" t="str">
        <f t="shared" si="231"/>
        <v>Non-Rural Private</v>
      </c>
      <c r="CY134" s="615"/>
      <c r="CZ134" s="616"/>
    </row>
    <row r="135" spans="2:104" x14ac:dyDescent="0.25">
      <c r="B135" s="617">
        <f t="shared" si="173"/>
        <v>120</v>
      </c>
      <c r="C135" s="593" t="s">
        <v>872</v>
      </c>
      <c r="D135" s="594" t="s">
        <v>872</v>
      </c>
      <c r="E135" s="594" t="s">
        <v>873</v>
      </c>
      <c r="F135" s="407" t="s">
        <v>874</v>
      </c>
      <c r="G135" s="408" t="s">
        <v>875</v>
      </c>
      <c r="H135" s="408" t="s">
        <v>22</v>
      </c>
      <c r="I135" s="408" t="s">
        <v>26</v>
      </c>
      <c r="J135" s="408" t="s">
        <v>31</v>
      </c>
      <c r="K135" s="408" t="s">
        <v>35</v>
      </c>
      <c r="L135" s="408" t="s">
        <v>35</v>
      </c>
      <c r="M135" s="408" t="s">
        <v>35</v>
      </c>
      <c r="N135" s="595" t="str">
        <f t="shared" si="189"/>
        <v>No</v>
      </c>
      <c r="O135" s="596">
        <v>529</v>
      </c>
      <c r="P135" s="596">
        <v>5384</v>
      </c>
      <c r="Q135" s="597">
        <v>0.12153906533217838</v>
      </c>
      <c r="R135" s="596">
        <f t="shared" si="174"/>
        <v>654.36632774844838</v>
      </c>
      <c r="S135" s="596">
        <f t="shared" si="175"/>
        <v>1183.3663277484484</v>
      </c>
      <c r="T135" s="596">
        <f t="shared" si="190"/>
        <v>1183.3663277484484</v>
      </c>
      <c r="U135" s="598">
        <f t="shared" si="176"/>
        <v>2.768512957321876E-4</v>
      </c>
      <c r="V135" s="599">
        <f t="shared" si="185"/>
        <v>0</v>
      </c>
      <c r="W135" s="600">
        <v>1639171.145705157</v>
      </c>
      <c r="X135" s="600">
        <v>0</v>
      </c>
      <c r="Y135" s="600">
        <v>1376492.9045095514</v>
      </c>
      <c r="Z135" s="600">
        <f t="shared" si="177"/>
        <v>0</v>
      </c>
      <c r="AA135" s="600">
        <f t="shared" si="178"/>
        <v>1639171.145705157</v>
      </c>
      <c r="AB135" s="601">
        <f t="shared" si="191"/>
        <v>0</v>
      </c>
      <c r="AC135" s="599">
        <v>0</v>
      </c>
      <c r="AD135" s="599">
        <f>MAX(IF(M135="Yes",'Assumption Inputs'!$C$40,'Assumption Inputs'!$C$41),AC135)</f>
        <v>6000000</v>
      </c>
      <c r="AE135" s="599">
        <f t="shared" si="186"/>
        <v>1063330.3222189355</v>
      </c>
      <c r="AF135" s="599">
        <f t="shared" si="192"/>
        <v>0</v>
      </c>
      <c r="AG135" s="599">
        <f t="shared" si="187"/>
        <v>0</v>
      </c>
      <c r="AH135" s="599">
        <f t="shared" si="188"/>
        <v>1063330.3222189355</v>
      </c>
      <c r="AI135" s="599">
        <v>6141843.2976672463</v>
      </c>
      <c r="AJ135" s="599">
        <v>5566002.4741810262</v>
      </c>
      <c r="AK135" s="602">
        <f t="shared" si="179"/>
        <v>0.90624299651133522</v>
      </c>
      <c r="AL135" s="603">
        <f t="shared" si="131"/>
        <v>0</v>
      </c>
      <c r="AM135" s="600">
        <f t="shared" si="180"/>
        <v>1063330.3222189355</v>
      </c>
      <c r="AN135" s="600">
        <f t="shared" si="193"/>
        <v>1063330.3222189355</v>
      </c>
      <c r="AO135" s="600">
        <f t="shared" si="133"/>
        <v>0</v>
      </c>
      <c r="AP135" s="600">
        <f t="shared" si="134"/>
        <v>575840.82348622149</v>
      </c>
      <c r="AQ135" s="600">
        <f t="shared" si="181"/>
        <v>0</v>
      </c>
      <c r="AR135" s="600">
        <f t="shared" si="182"/>
        <v>1063330.3222189355</v>
      </c>
      <c r="AS135" s="604">
        <f t="shared" si="194"/>
        <v>0</v>
      </c>
      <c r="AT135" s="605">
        <f t="shared" si="195"/>
        <v>0</v>
      </c>
      <c r="AU135" s="600">
        <f t="shared" si="196"/>
        <v>1063330.3222189355</v>
      </c>
      <c r="AV135" s="600">
        <f t="shared" si="197"/>
        <v>1063330.3222189355</v>
      </c>
      <c r="AW135" s="600">
        <f t="shared" si="198"/>
        <v>0</v>
      </c>
      <c r="AX135" s="600">
        <f t="shared" si="199"/>
        <v>575840.82348622149</v>
      </c>
      <c r="AY135" s="600">
        <f t="shared" si="200"/>
        <v>1.1329951474066946E-12</v>
      </c>
      <c r="AZ135" s="600">
        <f t="shared" si="201"/>
        <v>1063330.3222189355</v>
      </c>
      <c r="BA135" s="600">
        <f t="shared" si="202"/>
        <v>0</v>
      </c>
      <c r="BB135" s="600">
        <f t="shared" si="203"/>
        <v>0</v>
      </c>
      <c r="BC135" s="600">
        <f t="shared" si="204"/>
        <v>0</v>
      </c>
      <c r="BD135" s="600">
        <f t="shared" si="205"/>
        <v>0</v>
      </c>
      <c r="BE135" s="600">
        <f t="shared" si="206"/>
        <v>575840.82348622149</v>
      </c>
      <c r="BF135" s="600">
        <f t="shared" si="207"/>
        <v>1063330.3222189355</v>
      </c>
      <c r="BG135" s="600">
        <v>0</v>
      </c>
      <c r="BH135" s="600">
        <v>0</v>
      </c>
      <c r="BI135" s="600">
        <f t="shared" si="208"/>
        <v>0</v>
      </c>
      <c r="BJ135" s="600">
        <f t="shared" si="209"/>
        <v>1063330.32</v>
      </c>
      <c r="BK135" s="600">
        <f t="shared" si="210"/>
        <v>373547.94141599996</v>
      </c>
      <c r="BL135" s="600">
        <v>1063330.32</v>
      </c>
      <c r="BM135" s="600">
        <f t="shared" si="211"/>
        <v>0</v>
      </c>
      <c r="BN135" s="600">
        <f t="shared" si="212"/>
        <v>0</v>
      </c>
      <c r="BO135" s="600">
        <f t="shared" si="213"/>
        <v>0</v>
      </c>
      <c r="BP135" s="600">
        <f t="shared" si="214"/>
        <v>373547.94141599996</v>
      </c>
      <c r="BQ135" s="600">
        <f t="shared" si="215"/>
        <v>0</v>
      </c>
      <c r="BR135" s="600">
        <f t="shared" si="216"/>
        <v>0</v>
      </c>
      <c r="BT135" s="606">
        <f t="shared" si="217"/>
        <v>1</v>
      </c>
      <c r="BU135" s="607">
        <f t="shared" si="218"/>
        <v>0</v>
      </c>
      <c r="BV135" s="606">
        <f t="shared" si="219"/>
        <v>1.0793718551397975</v>
      </c>
      <c r="BW135" s="607">
        <f t="shared" si="220"/>
        <v>0</v>
      </c>
      <c r="BX135" s="607">
        <f t="shared" si="221"/>
        <v>0</v>
      </c>
      <c r="BY135" s="607">
        <f t="shared" si="222"/>
        <v>0</v>
      </c>
      <c r="BZ135" s="607">
        <f t="shared" si="223"/>
        <v>0</v>
      </c>
      <c r="CA135" s="607">
        <f t="shared" si="224"/>
        <v>0</v>
      </c>
      <c r="CB135" s="607">
        <f t="shared" si="183"/>
        <v>0</v>
      </c>
      <c r="CC135" s="607">
        <f t="shared" si="225"/>
        <v>202292.88129070957</v>
      </c>
      <c r="CD135" s="607">
        <f t="shared" si="226"/>
        <v>575840.82348622149</v>
      </c>
      <c r="CE135" s="607">
        <f t="shared" si="227"/>
        <v>575840.82348622149</v>
      </c>
      <c r="CF135" s="607">
        <f t="shared" si="228"/>
        <v>277539.71000000002</v>
      </c>
      <c r="CG135" s="607">
        <f t="shared" si="229"/>
        <v>0</v>
      </c>
      <c r="CH135" s="607">
        <f t="shared" si="230"/>
        <v>1340870.03</v>
      </c>
      <c r="CI135" s="609"/>
      <c r="CK135" s="610" t="str">
        <f t="shared" si="184"/>
        <v/>
      </c>
      <c r="CL135" s="611" t="str">
        <f>IF(CK135="","",COUNTIFS($CK$16:CK135,"Yes")+MAX(State!AD:AD))</f>
        <v/>
      </c>
      <c r="CM135" s="612" t="b">
        <f>IF(C135="", "", AND(INDEX('Summary Dynamic'!$D$8:$D$10, MATCH(H135, 'Summary Dynamic'!$C$8:$C$10, 0))="Include", INDEX('Summary Dynamic'!$D$12:$D$14, MATCH(I135, 'Summary Dynamic'!$C$12:$C$14, 0))="Include", INDEX('Summary Dynamic'!$D$16:$D$17, MATCH(J135, 'Summary Dynamic'!$C$16:$C$17, 0))="Include", INDEX('Summary Dynamic'!$D$19:$D$20, MATCH(K135, 'Summary Dynamic'!$C$19:$C$20, 0))="Include", INDEX('Summary Dynamic'!$D$25:$D$26, MATCH(L135, 'Summary Dynamic'!$C$25:$C$26, 0))="Include",'Summary Dynamic'!$D$23="Include"))</f>
        <v>1</v>
      </c>
      <c r="CN135" s="613">
        <f>IFERROR(IF(CM135=TRUE, COUNTIFS($CM$16:CM135, TRUE), ""), "")</f>
        <v>120</v>
      </c>
      <c r="CP135" s="614" t="str">
        <f t="shared" si="231"/>
        <v>Rural Private</v>
      </c>
      <c r="CY135" s="615"/>
      <c r="CZ135" s="616"/>
    </row>
    <row r="136" spans="2:104" x14ac:dyDescent="0.25">
      <c r="B136" s="617">
        <f t="shared" si="173"/>
        <v>121</v>
      </c>
      <c r="C136" s="593" t="s">
        <v>876</v>
      </c>
      <c r="D136" s="594" t="s">
        <v>876</v>
      </c>
      <c r="E136" s="594" t="s">
        <v>877</v>
      </c>
      <c r="F136" s="407" t="s">
        <v>878</v>
      </c>
      <c r="G136" s="408" t="s">
        <v>879</v>
      </c>
      <c r="H136" s="408" t="s">
        <v>22</v>
      </c>
      <c r="I136" s="408" t="s">
        <v>26</v>
      </c>
      <c r="J136" s="408" t="s">
        <v>35</v>
      </c>
      <c r="K136" s="408" t="s">
        <v>35</v>
      </c>
      <c r="L136" s="408" t="s">
        <v>35</v>
      </c>
      <c r="M136" s="408" t="s">
        <v>35</v>
      </c>
      <c r="N136" s="595" t="str">
        <f t="shared" si="189"/>
        <v>No</v>
      </c>
      <c r="O136" s="596">
        <v>7324</v>
      </c>
      <c r="P136" s="596">
        <v>57698</v>
      </c>
      <c r="Q136" s="597">
        <v>0.14643617123514818</v>
      </c>
      <c r="R136" s="596">
        <f t="shared" si="174"/>
        <v>8449.0742079255797</v>
      </c>
      <c r="S136" s="596">
        <f t="shared" si="175"/>
        <v>15773.07420792558</v>
      </c>
      <c r="T136" s="596">
        <f t="shared" si="190"/>
        <v>15773.07420792558</v>
      </c>
      <c r="U136" s="598">
        <f t="shared" si="176"/>
        <v>3.6901472770927172E-3</v>
      </c>
      <c r="V136" s="599">
        <f t="shared" si="185"/>
        <v>0</v>
      </c>
      <c r="W136" s="600">
        <v>15508337.341965767</v>
      </c>
      <c r="X136" s="600">
        <v>0</v>
      </c>
      <c r="Y136" s="600">
        <v>12390390.752550254</v>
      </c>
      <c r="Z136" s="600">
        <f t="shared" si="177"/>
        <v>0</v>
      </c>
      <c r="AA136" s="600">
        <f t="shared" si="178"/>
        <v>15508337.341965767</v>
      </c>
      <c r="AB136" s="601">
        <f t="shared" si="191"/>
        <v>0</v>
      </c>
      <c r="AC136" s="599">
        <v>0</v>
      </c>
      <c r="AD136" s="599">
        <f>MAX(IF(M136="Yes",'Assumption Inputs'!$C$40,'Assumption Inputs'!$C$41),AC136)</f>
        <v>6000000</v>
      </c>
      <c r="AE136" s="599">
        <f t="shared" si="186"/>
        <v>6000000</v>
      </c>
      <c r="AF136" s="599">
        <f t="shared" si="192"/>
        <v>0</v>
      </c>
      <c r="AG136" s="599">
        <f t="shared" si="187"/>
        <v>0</v>
      </c>
      <c r="AH136" s="599">
        <f t="shared" si="188"/>
        <v>6000000</v>
      </c>
      <c r="AI136" s="599">
        <v>43140854.406947553</v>
      </c>
      <c r="AJ136" s="599">
        <v>33632517.064981781</v>
      </c>
      <c r="AK136" s="602">
        <f t="shared" si="179"/>
        <v>0.7795978435597577</v>
      </c>
      <c r="AL136" s="603">
        <f t="shared" si="131"/>
        <v>0</v>
      </c>
      <c r="AM136" s="600">
        <f t="shared" si="180"/>
        <v>6000000</v>
      </c>
      <c r="AN136" s="600">
        <f t="shared" si="193"/>
        <v>6000000</v>
      </c>
      <c r="AO136" s="600">
        <f t="shared" si="133"/>
        <v>0</v>
      </c>
      <c r="AP136" s="600">
        <f t="shared" si="134"/>
        <v>9508337.3419657666</v>
      </c>
      <c r="AQ136" s="600">
        <f t="shared" si="181"/>
        <v>0</v>
      </c>
      <c r="AR136" s="600">
        <f t="shared" si="182"/>
        <v>6000000</v>
      </c>
      <c r="AS136" s="604">
        <f t="shared" si="194"/>
        <v>0</v>
      </c>
      <c r="AT136" s="605">
        <f t="shared" si="195"/>
        <v>0</v>
      </c>
      <c r="AU136" s="600">
        <f t="shared" si="196"/>
        <v>6000000</v>
      </c>
      <c r="AV136" s="600">
        <f t="shared" si="197"/>
        <v>6000000</v>
      </c>
      <c r="AW136" s="600">
        <f t="shared" si="198"/>
        <v>0</v>
      </c>
      <c r="AX136" s="600">
        <f t="shared" si="199"/>
        <v>9508337.3419657666</v>
      </c>
      <c r="AY136" s="600">
        <f t="shared" si="200"/>
        <v>1.8708121461643564E-11</v>
      </c>
      <c r="AZ136" s="600">
        <f t="shared" si="201"/>
        <v>6000000</v>
      </c>
      <c r="BA136" s="600">
        <f t="shared" si="202"/>
        <v>0</v>
      </c>
      <c r="BB136" s="600">
        <f t="shared" si="203"/>
        <v>0</v>
      </c>
      <c r="BC136" s="600">
        <f t="shared" si="204"/>
        <v>0</v>
      </c>
      <c r="BD136" s="600">
        <f t="shared" si="205"/>
        <v>0</v>
      </c>
      <c r="BE136" s="600">
        <f t="shared" si="206"/>
        <v>9508337.3419657666</v>
      </c>
      <c r="BF136" s="600">
        <f t="shared" si="207"/>
        <v>6000000</v>
      </c>
      <c r="BG136" s="600">
        <v>0</v>
      </c>
      <c r="BH136" s="600">
        <v>0</v>
      </c>
      <c r="BI136" s="600">
        <f t="shared" si="208"/>
        <v>0</v>
      </c>
      <c r="BJ136" s="600">
        <f t="shared" si="209"/>
        <v>6000000</v>
      </c>
      <c r="BK136" s="600">
        <f t="shared" si="210"/>
        <v>2107799.9999999995</v>
      </c>
      <c r="BL136" s="600">
        <v>6000000</v>
      </c>
      <c r="BM136" s="600">
        <f t="shared" si="211"/>
        <v>0</v>
      </c>
      <c r="BN136" s="600">
        <f t="shared" si="212"/>
        <v>0</v>
      </c>
      <c r="BO136" s="600">
        <f t="shared" si="213"/>
        <v>0</v>
      </c>
      <c r="BP136" s="600">
        <f t="shared" si="214"/>
        <v>2107799.9999999995</v>
      </c>
      <c r="BQ136" s="600">
        <f t="shared" si="215"/>
        <v>0</v>
      </c>
      <c r="BR136" s="600">
        <f t="shared" si="216"/>
        <v>0</v>
      </c>
      <c r="BT136" s="606">
        <f t="shared" si="217"/>
        <v>1</v>
      </c>
      <c r="BU136" s="607">
        <f t="shared" si="218"/>
        <v>0</v>
      </c>
      <c r="BV136" s="606">
        <f t="shared" si="219"/>
        <v>1</v>
      </c>
      <c r="BW136" s="607">
        <f t="shared" si="220"/>
        <v>0</v>
      </c>
      <c r="BX136" s="607">
        <f t="shared" si="221"/>
        <v>0</v>
      </c>
      <c r="BY136" s="607">
        <f t="shared" si="222"/>
        <v>0</v>
      </c>
      <c r="BZ136" s="607">
        <f t="shared" si="223"/>
        <v>0</v>
      </c>
      <c r="CA136" s="607">
        <f t="shared" si="224"/>
        <v>0</v>
      </c>
      <c r="CB136" s="607">
        <f t="shared" si="183"/>
        <v>0</v>
      </c>
      <c r="CC136" s="607">
        <f t="shared" si="225"/>
        <v>0</v>
      </c>
      <c r="CD136" s="607">
        <f t="shared" si="226"/>
        <v>0</v>
      </c>
      <c r="CE136" s="607">
        <f t="shared" si="227"/>
        <v>0</v>
      </c>
      <c r="CF136" s="607">
        <f t="shared" si="228"/>
        <v>0</v>
      </c>
      <c r="CG136" s="607">
        <f t="shared" si="229"/>
        <v>0</v>
      </c>
      <c r="CH136" s="607">
        <f t="shared" si="230"/>
        <v>6000000</v>
      </c>
      <c r="CI136" s="609"/>
      <c r="CK136" s="610" t="str">
        <f t="shared" si="184"/>
        <v/>
      </c>
      <c r="CL136" s="611" t="str">
        <f>IF(CK136="","",COUNTIFS($CK$16:CK136,"Yes")+MAX(State!AD:AD))</f>
        <v/>
      </c>
      <c r="CM136" s="612" t="b">
        <f>IF(C136="", "", AND(INDEX('Summary Dynamic'!$D$8:$D$10, MATCH(H136, 'Summary Dynamic'!$C$8:$C$10, 0))="Include", INDEX('Summary Dynamic'!$D$12:$D$14, MATCH(I136, 'Summary Dynamic'!$C$12:$C$14, 0))="Include", INDEX('Summary Dynamic'!$D$16:$D$17, MATCH(J136, 'Summary Dynamic'!$C$16:$C$17, 0))="Include", INDEX('Summary Dynamic'!$D$19:$D$20, MATCH(K136, 'Summary Dynamic'!$C$19:$C$20, 0))="Include", INDEX('Summary Dynamic'!$D$25:$D$26, MATCH(L136, 'Summary Dynamic'!$C$25:$C$26, 0))="Include",'Summary Dynamic'!$D$23="Include"))</f>
        <v>1</v>
      </c>
      <c r="CN136" s="613">
        <f>IFERROR(IF(CM136=TRUE, COUNTIFS($CM$16:CM136, TRUE), ""), "")</f>
        <v>121</v>
      </c>
      <c r="CP136" s="614" t="str">
        <f t="shared" si="231"/>
        <v>Non-Rural Private</v>
      </c>
      <c r="CY136" s="615"/>
      <c r="CZ136" s="616"/>
    </row>
    <row r="137" spans="2:104" x14ac:dyDescent="0.25">
      <c r="B137" s="617">
        <f t="shared" si="173"/>
        <v>122</v>
      </c>
      <c r="C137" s="593" t="s">
        <v>880</v>
      </c>
      <c r="D137" s="594" t="s">
        <v>880</v>
      </c>
      <c r="E137" s="594" t="s">
        <v>881</v>
      </c>
      <c r="F137" s="407" t="s">
        <v>882</v>
      </c>
      <c r="G137" s="408" t="s">
        <v>318</v>
      </c>
      <c r="H137" s="408" t="s">
        <v>22</v>
      </c>
      <c r="I137" s="408" t="s">
        <v>26</v>
      </c>
      <c r="J137" s="408" t="s">
        <v>35</v>
      </c>
      <c r="K137" s="408" t="s">
        <v>37</v>
      </c>
      <c r="L137" s="408" t="s">
        <v>35</v>
      </c>
      <c r="M137" s="408" t="s">
        <v>35</v>
      </c>
      <c r="N137" s="595" t="str">
        <f t="shared" si="189"/>
        <v>No</v>
      </c>
      <c r="O137" s="596">
        <v>1395</v>
      </c>
      <c r="P137" s="596">
        <v>3223</v>
      </c>
      <c r="Q137" s="597">
        <v>0</v>
      </c>
      <c r="R137" s="596">
        <f t="shared" si="174"/>
        <v>0</v>
      </c>
      <c r="S137" s="596">
        <f t="shared" si="175"/>
        <v>1395</v>
      </c>
      <c r="T137" s="596">
        <f t="shared" si="190"/>
        <v>1395</v>
      </c>
      <c r="U137" s="598">
        <f t="shared" si="176"/>
        <v>3.2636348397814047E-4</v>
      </c>
      <c r="V137" s="599">
        <f t="shared" si="185"/>
        <v>0</v>
      </c>
      <c r="W137" s="600">
        <v>27799648.209378116</v>
      </c>
      <c r="X137" s="600">
        <v>0</v>
      </c>
      <c r="Y137" s="600">
        <v>9235286.1645561717</v>
      </c>
      <c r="Z137" s="600">
        <f t="shared" si="177"/>
        <v>0</v>
      </c>
      <c r="AA137" s="600">
        <f t="shared" si="178"/>
        <v>27799648.209378116</v>
      </c>
      <c r="AB137" s="601">
        <f t="shared" si="191"/>
        <v>0</v>
      </c>
      <c r="AC137" s="599">
        <v>19649961.231724977</v>
      </c>
      <c r="AD137" s="599">
        <f>MAX(IF(M137="Yes",'Assumption Inputs'!$C$40,'Assumption Inputs'!$C$41),AC137)</f>
        <v>19649961.231724977</v>
      </c>
      <c r="AE137" s="599">
        <f t="shared" si="186"/>
        <v>18033631.793423586</v>
      </c>
      <c r="AF137" s="599">
        <f t="shared" si="192"/>
        <v>0</v>
      </c>
      <c r="AG137" s="599">
        <f t="shared" si="187"/>
        <v>0</v>
      </c>
      <c r="AH137" s="599">
        <f t="shared" si="188"/>
        <v>18033631.793423586</v>
      </c>
      <c r="AI137" s="599">
        <v>50630771.882416412</v>
      </c>
      <c r="AJ137" s="599">
        <v>40864755.466461882</v>
      </c>
      <c r="AK137" s="602">
        <f t="shared" si="179"/>
        <v>0.80711302528361861</v>
      </c>
      <c r="AL137" s="603">
        <f t="shared" si="131"/>
        <v>0</v>
      </c>
      <c r="AM137" s="600">
        <f t="shared" si="180"/>
        <v>18033631.793423586</v>
      </c>
      <c r="AN137" s="600">
        <f t="shared" si="193"/>
        <v>18033631.793423586</v>
      </c>
      <c r="AO137" s="600">
        <f t="shared" si="133"/>
        <v>0</v>
      </c>
      <c r="AP137" s="600">
        <f t="shared" si="134"/>
        <v>9766016.4159545302</v>
      </c>
      <c r="AQ137" s="600">
        <f t="shared" si="181"/>
        <v>0</v>
      </c>
      <c r="AR137" s="600">
        <f t="shared" si="182"/>
        <v>18033631.793423586</v>
      </c>
      <c r="AS137" s="604">
        <f t="shared" si="194"/>
        <v>0</v>
      </c>
      <c r="AT137" s="605">
        <f t="shared" si="195"/>
        <v>0</v>
      </c>
      <c r="AU137" s="600">
        <f t="shared" si="196"/>
        <v>18033631.793423586</v>
      </c>
      <c r="AV137" s="600">
        <f t="shared" si="197"/>
        <v>18033631.793423586</v>
      </c>
      <c r="AW137" s="600">
        <f t="shared" si="198"/>
        <v>0</v>
      </c>
      <c r="AX137" s="600">
        <f t="shared" si="199"/>
        <v>9766016.4159545302</v>
      </c>
      <c r="AY137" s="600">
        <f t="shared" si="200"/>
        <v>1.921511771566046E-11</v>
      </c>
      <c r="AZ137" s="600">
        <f t="shared" si="201"/>
        <v>18033631.793423586</v>
      </c>
      <c r="BA137" s="600">
        <f t="shared" si="202"/>
        <v>0</v>
      </c>
      <c r="BB137" s="600">
        <f t="shared" si="203"/>
        <v>0</v>
      </c>
      <c r="BC137" s="600">
        <f t="shared" si="204"/>
        <v>0</v>
      </c>
      <c r="BD137" s="600">
        <f t="shared" si="205"/>
        <v>0</v>
      </c>
      <c r="BE137" s="600">
        <f t="shared" si="206"/>
        <v>9766016.4159545302</v>
      </c>
      <c r="BF137" s="600">
        <f t="shared" si="207"/>
        <v>18033631.793423586</v>
      </c>
      <c r="BG137" s="600">
        <v>0</v>
      </c>
      <c r="BH137" s="600">
        <v>0</v>
      </c>
      <c r="BI137" s="600">
        <f t="shared" si="208"/>
        <v>0</v>
      </c>
      <c r="BJ137" s="600">
        <f t="shared" si="209"/>
        <v>18033631.789999999</v>
      </c>
      <c r="BK137" s="600">
        <f t="shared" si="210"/>
        <v>6335214.8478269987</v>
      </c>
      <c r="BL137" s="600">
        <v>18033631.789999999</v>
      </c>
      <c r="BM137" s="600">
        <f t="shared" si="211"/>
        <v>0</v>
      </c>
      <c r="BN137" s="600">
        <f t="shared" si="212"/>
        <v>0</v>
      </c>
      <c r="BO137" s="600">
        <f t="shared" si="213"/>
        <v>0</v>
      </c>
      <c r="BP137" s="600">
        <f t="shared" si="214"/>
        <v>6335214.8478269987</v>
      </c>
      <c r="BQ137" s="600">
        <f t="shared" si="215"/>
        <v>0</v>
      </c>
      <c r="BR137" s="600">
        <f t="shared" si="216"/>
        <v>0</v>
      </c>
      <c r="BT137" s="606">
        <f t="shared" si="217"/>
        <v>1</v>
      </c>
      <c r="BU137" s="607">
        <f t="shared" si="218"/>
        <v>0</v>
      </c>
      <c r="BV137" s="606">
        <f t="shared" si="219"/>
        <v>1</v>
      </c>
      <c r="BW137" s="607">
        <f t="shared" si="220"/>
        <v>0</v>
      </c>
      <c r="BX137" s="607">
        <f t="shared" si="221"/>
        <v>0</v>
      </c>
      <c r="BY137" s="607">
        <f t="shared" si="222"/>
        <v>0</v>
      </c>
      <c r="BZ137" s="607">
        <f t="shared" si="223"/>
        <v>0</v>
      </c>
      <c r="CA137" s="607">
        <f t="shared" si="224"/>
        <v>0</v>
      </c>
      <c r="CB137" s="607">
        <f t="shared" si="183"/>
        <v>0</v>
      </c>
      <c r="CC137" s="607">
        <f t="shared" si="225"/>
        <v>0</v>
      </c>
      <c r="CD137" s="607">
        <f t="shared" si="226"/>
        <v>0</v>
      </c>
      <c r="CE137" s="607">
        <f t="shared" si="227"/>
        <v>0</v>
      </c>
      <c r="CF137" s="607">
        <f t="shared" si="228"/>
        <v>0</v>
      </c>
      <c r="CG137" s="607">
        <f t="shared" si="229"/>
        <v>0</v>
      </c>
      <c r="CH137" s="607">
        <f t="shared" si="230"/>
        <v>18033631.789999999</v>
      </c>
      <c r="CI137" s="609"/>
      <c r="CK137" s="610" t="str">
        <f t="shared" si="184"/>
        <v/>
      </c>
      <c r="CL137" s="611" t="str">
        <f>IF(CK137="","",COUNTIFS($CK$16:CK137,"Yes")+MAX(State!AD:AD))</f>
        <v/>
      </c>
      <c r="CM137" s="612" t="b">
        <f>IF(C137="", "", AND(INDEX('Summary Dynamic'!$D$8:$D$10, MATCH(H137, 'Summary Dynamic'!$C$8:$C$10, 0))="Include", INDEX('Summary Dynamic'!$D$12:$D$14, MATCH(I137, 'Summary Dynamic'!$C$12:$C$14, 0))="Include", INDEX('Summary Dynamic'!$D$16:$D$17, MATCH(J137, 'Summary Dynamic'!$C$16:$C$17, 0))="Include", INDEX('Summary Dynamic'!$D$19:$D$20, MATCH(K137, 'Summary Dynamic'!$C$19:$C$20, 0))="Include", INDEX('Summary Dynamic'!$D$25:$D$26, MATCH(L137, 'Summary Dynamic'!$C$25:$C$26, 0))="Include",'Summary Dynamic'!$D$23="Include"))</f>
        <v>1</v>
      </c>
      <c r="CN137" s="613">
        <f>IFERROR(IF(CM137=TRUE, COUNTIFS($CM$16:CM137, TRUE), ""), "")</f>
        <v>122</v>
      </c>
      <c r="CP137" s="614" t="str">
        <f t="shared" si="231"/>
        <v>Children's Hospital</v>
      </c>
      <c r="CY137" s="615"/>
      <c r="CZ137" s="616"/>
    </row>
    <row r="138" spans="2:104" x14ac:dyDescent="0.25">
      <c r="B138" s="617">
        <f t="shared" si="173"/>
        <v>123</v>
      </c>
      <c r="C138" s="593" t="s">
        <v>883</v>
      </c>
      <c r="D138" s="594" t="s">
        <v>883</v>
      </c>
      <c r="E138" s="594" t="s">
        <v>884</v>
      </c>
      <c r="F138" s="407" t="s">
        <v>885</v>
      </c>
      <c r="G138" s="408" t="s">
        <v>886</v>
      </c>
      <c r="H138" s="408" t="s">
        <v>22</v>
      </c>
      <c r="I138" s="408" t="s">
        <v>26</v>
      </c>
      <c r="J138" s="408" t="s">
        <v>31</v>
      </c>
      <c r="K138" s="408" t="s">
        <v>35</v>
      </c>
      <c r="L138" s="408" t="s">
        <v>35</v>
      </c>
      <c r="M138" s="408" t="s">
        <v>35</v>
      </c>
      <c r="N138" s="595" t="str">
        <f t="shared" si="189"/>
        <v>No</v>
      </c>
      <c r="O138" s="596">
        <v>140</v>
      </c>
      <c r="P138" s="596">
        <v>1943</v>
      </c>
      <c r="Q138" s="597">
        <v>7.5238509534608006E-2</v>
      </c>
      <c r="R138" s="596">
        <f t="shared" si="174"/>
        <v>146.18842402574336</v>
      </c>
      <c r="S138" s="596">
        <f t="shared" si="175"/>
        <v>286.18842402574336</v>
      </c>
      <c r="T138" s="596">
        <f t="shared" si="190"/>
        <v>286.18842402574336</v>
      </c>
      <c r="U138" s="598">
        <f t="shared" si="176"/>
        <v>6.6954445261114678E-5</v>
      </c>
      <c r="V138" s="599">
        <f t="shared" si="185"/>
        <v>0</v>
      </c>
      <c r="W138" s="600">
        <v>1208171.3216240848</v>
      </c>
      <c r="X138" s="600">
        <v>0</v>
      </c>
      <c r="Y138" s="600">
        <v>9858.2707997516263</v>
      </c>
      <c r="Z138" s="600">
        <f t="shared" si="177"/>
        <v>0</v>
      </c>
      <c r="AA138" s="600">
        <f t="shared" si="178"/>
        <v>1208171.3216240848</v>
      </c>
      <c r="AB138" s="601">
        <f t="shared" si="191"/>
        <v>0</v>
      </c>
      <c r="AC138" s="599">
        <v>382965.70273497247</v>
      </c>
      <c r="AD138" s="599">
        <f>MAX(IF(M138="Yes",'Assumption Inputs'!$C$40,'Assumption Inputs'!$C$41),AC138)</f>
        <v>6000000</v>
      </c>
      <c r="AE138" s="599">
        <f t="shared" si="186"/>
        <v>783740.73633754393</v>
      </c>
      <c r="AF138" s="599">
        <f t="shared" si="192"/>
        <v>0</v>
      </c>
      <c r="AG138" s="599">
        <f t="shared" si="187"/>
        <v>0</v>
      </c>
      <c r="AH138" s="599">
        <f t="shared" si="188"/>
        <v>783740.73633754393</v>
      </c>
      <c r="AI138" s="599">
        <v>1879289.5516526881</v>
      </c>
      <c r="AJ138" s="599">
        <v>1454858.9663661474</v>
      </c>
      <c r="AK138" s="602">
        <f t="shared" si="179"/>
        <v>0.77415370350285451</v>
      </c>
      <c r="AL138" s="603">
        <f t="shared" si="131"/>
        <v>0</v>
      </c>
      <c r="AM138" s="600">
        <f t="shared" si="180"/>
        <v>783740.73633754393</v>
      </c>
      <c r="AN138" s="600">
        <f t="shared" si="193"/>
        <v>783740.73633754393</v>
      </c>
      <c r="AO138" s="600">
        <f t="shared" si="133"/>
        <v>0</v>
      </c>
      <c r="AP138" s="600">
        <f t="shared" si="134"/>
        <v>424430.58528654091</v>
      </c>
      <c r="AQ138" s="600">
        <f t="shared" si="181"/>
        <v>0</v>
      </c>
      <c r="AR138" s="600">
        <f t="shared" si="182"/>
        <v>783740.73633754393</v>
      </c>
      <c r="AS138" s="604">
        <f t="shared" si="194"/>
        <v>0</v>
      </c>
      <c r="AT138" s="605">
        <f t="shared" si="195"/>
        <v>0</v>
      </c>
      <c r="AU138" s="600">
        <f t="shared" si="196"/>
        <v>783740.73633754393</v>
      </c>
      <c r="AV138" s="600">
        <f t="shared" si="197"/>
        <v>783740.73633754393</v>
      </c>
      <c r="AW138" s="600">
        <f t="shared" si="198"/>
        <v>0</v>
      </c>
      <c r="AX138" s="600">
        <f t="shared" si="199"/>
        <v>424430.58528654091</v>
      </c>
      <c r="AY138" s="600">
        <f t="shared" si="200"/>
        <v>8.3508805546180665E-13</v>
      </c>
      <c r="AZ138" s="600">
        <f t="shared" si="201"/>
        <v>783740.73633754393</v>
      </c>
      <c r="BA138" s="600">
        <f t="shared" si="202"/>
        <v>0</v>
      </c>
      <c r="BB138" s="600">
        <f t="shared" si="203"/>
        <v>0</v>
      </c>
      <c r="BC138" s="600">
        <f t="shared" si="204"/>
        <v>0</v>
      </c>
      <c r="BD138" s="600">
        <f t="shared" si="205"/>
        <v>0</v>
      </c>
      <c r="BE138" s="600">
        <f t="shared" si="206"/>
        <v>424430.58528654091</v>
      </c>
      <c r="BF138" s="600">
        <f t="shared" si="207"/>
        <v>783740.73633754393</v>
      </c>
      <c r="BG138" s="600">
        <v>0</v>
      </c>
      <c r="BH138" s="600">
        <v>0</v>
      </c>
      <c r="BI138" s="600">
        <f t="shared" si="208"/>
        <v>0</v>
      </c>
      <c r="BJ138" s="600">
        <f t="shared" si="209"/>
        <v>783740.74</v>
      </c>
      <c r="BK138" s="600">
        <f t="shared" si="210"/>
        <v>275328.12196199998</v>
      </c>
      <c r="BL138" s="600">
        <v>783740.74</v>
      </c>
      <c r="BM138" s="600">
        <f t="shared" si="211"/>
        <v>0</v>
      </c>
      <c r="BN138" s="600">
        <f t="shared" si="212"/>
        <v>0</v>
      </c>
      <c r="BO138" s="600">
        <f t="shared" si="213"/>
        <v>0</v>
      </c>
      <c r="BP138" s="600">
        <f t="shared" si="214"/>
        <v>275328.12196199998</v>
      </c>
      <c r="BQ138" s="600">
        <f t="shared" si="215"/>
        <v>0</v>
      </c>
      <c r="BR138" s="600">
        <f t="shared" si="216"/>
        <v>0</v>
      </c>
      <c r="BT138" s="606">
        <f t="shared" si="217"/>
        <v>1</v>
      </c>
      <c r="BU138" s="607">
        <f t="shared" si="218"/>
        <v>0</v>
      </c>
      <c r="BV138" s="606">
        <f t="shared" si="219"/>
        <v>1.1911946748160624</v>
      </c>
      <c r="BW138" s="607">
        <f t="shared" si="220"/>
        <v>0</v>
      </c>
      <c r="BX138" s="607">
        <f t="shared" si="221"/>
        <v>0</v>
      </c>
      <c r="BY138" s="607">
        <f t="shared" si="222"/>
        <v>0</v>
      </c>
      <c r="BZ138" s="607">
        <f t="shared" si="223"/>
        <v>0</v>
      </c>
      <c r="CA138" s="607">
        <f t="shared" si="224"/>
        <v>0</v>
      </c>
      <c r="CB138" s="607">
        <f t="shared" si="183"/>
        <v>0</v>
      </c>
      <c r="CC138" s="607">
        <f t="shared" si="225"/>
        <v>149102.46461116179</v>
      </c>
      <c r="CD138" s="607">
        <f t="shared" si="226"/>
        <v>424430.58528654091</v>
      </c>
      <c r="CE138" s="607">
        <f t="shared" si="227"/>
        <v>424430.58528654091</v>
      </c>
      <c r="CF138" s="607">
        <f t="shared" si="228"/>
        <v>204564.07</v>
      </c>
      <c r="CG138" s="607">
        <f t="shared" si="229"/>
        <v>0</v>
      </c>
      <c r="CH138" s="607">
        <f t="shared" si="230"/>
        <v>988304.81</v>
      </c>
      <c r="CI138" s="609"/>
      <c r="CK138" s="610" t="str">
        <f t="shared" si="184"/>
        <v/>
      </c>
      <c r="CL138" s="611" t="str">
        <f>IF(CK138="","",COUNTIFS($CK$16:CK138,"Yes")+MAX(State!AD:AD))</f>
        <v/>
      </c>
      <c r="CM138" s="612" t="b">
        <f>IF(C138="", "", AND(INDEX('Summary Dynamic'!$D$8:$D$10, MATCH(H138, 'Summary Dynamic'!$C$8:$C$10, 0))="Include", INDEX('Summary Dynamic'!$D$12:$D$14, MATCH(I138, 'Summary Dynamic'!$C$12:$C$14, 0))="Include", INDEX('Summary Dynamic'!$D$16:$D$17, MATCH(J138, 'Summary Dynamic'!$C$16:$C$17, 0))="Include", INDEX('Summary Dynamic'!$D$19:$D$20, MATCH(K138, 'Summary Dynamic'!$C$19:$C$20, 0))="Include", INDEX('Summary Dynamic'!$D$25:$D$26, MATCH(L138, 'Summary Dynamic'!$C$25:$C$26, 0))="Include",'Summary Dynamic'!$D$23="Include"))</f>
        <v>1</v>
      </c>
      <c r="CN138" s="613">
        <f>IFERROR(IF(CM138=TRUE, COUNTIFS($CM$16:CM138, TRUE), ""), "")</f>
        <v>123</v>
      </c>
      <c r="CP138" s="614" t="str">
        <f t="shared" si="231"/>
        <v>Rural Private</v>
      </c>
      <c r="CY138" s="615"/>
      <c r="CZ138" s="616"/>
    </row>
    <row r="139" spans="2:104" x14ac:dyDescent="0.25">
      <c r="B139" s="617">
        <f t="shared" si="173"/>
        <v>124</v>
      </c>
      <c r="C139" s="593" t="s">
        <v>887</v>
      </c>
      <c r="D139" s="594" t="s">
        <v>887</v>
      </c>
      <c r="E139" s="594" t="s">
        <v>888</v>
      </c>
      <c r="F139" s="407" t="s">
        <v>889</v>
      </c>
      <c r="G139" s="408" t="s">
        <v>774</v>
      </c>
      <c r="H139" s="408" t="s">
        <v>22</v>
      </c>
      <c r="I139" s="408" t="s">
        <v>26</v>
      </c>
      <c r="J139" s="408" t="s">
        <v>35</v>
      </c>
      <c r="K139" s="408" t="s">
        <v>35</v>
      </c>
      <c r="L139" s="408" t="s">
        <v>35</v>
      </c>
      <c r="M139" s="408" t="s">
        <v>37</v>
      </c>
      <c r="N139" s="595" t="str">
        <f t="shared" si="189"/>
        <v>No</v>
      </c>
      <c r="O139" s="596">
        <v>9717</v>
      </c>
      <c r="P139" s="596">
        <v>103535</v>
      </c>
      <c r="Q139" s="597">
        <v>0.12837985316539446</v>
      </c>
      <c r="R139" s="596">
        <f t="shared" si="174"/>
        <v>13291.808097479116</v>
      </c>
      <c r="S139" s="596">
        <f t="shared" si="175"/>
        <v>23008.808097479116</v>
      </c>
      <c r="T139" s="596">
        <f t="shared" si="190"/>
        <v>23008.808097479116</v>
      </c>
      <c r="U139" s="598">
        <f t="shared" si="176"/>
        <v>5.3829639948944335E-3</v>
      </c>
      <c r="V139" s="599">
        <f t="shared" si="185"/>
        <v>0</v>
      </c>
      <c r="W139" s="600">
        <v>33018557.448634807</v>
      </c>
      <c r="X139" s="600">
        <v>0</v>
      </c>
      <c r="Y139" s="600">
        <v>29117548.653473191</v>
      </c>
      <c r="Z139" s="600">
        <f t="shared" si="177"/>
        <v>0</v>
      </c>
      <c r="AA139" s="600">
        <f t="shared" si="178"/>
        <v>33018557.448634807</v>
      </c>
      <c r="AB139" s="601">
        <f t="shared" si="191"/>
        <v>0</v>
      </c>
      <c r="AC139" s="599">
        <v>6232969.6937836474</v>
      </c>
      <c r="AD139" s="599">
        <f>MAX(IF(M139="Yes",'Assumption Inputs'!$C$40,'Assumption Inputs'!$C$41),AC139)</f>
        <v>8000000</v>
      </c>
      <c r="AE139" s="599">
        <f t="shared" si="186"/>
        <v>8000000</v>
      </c>
      <c r="AF139" s="599">
        <f t="shared" si="192"/>
        <v>0</v>
      </c>
      <c r="AG139" s="599">
        <f t="shared" si="187"/>
        <v>0</v>
      </c>
      <c r="AH139" s="599">
        <f t="shared" si="188"/>
        <v>8000000</v>
      </c>
      <c r="AI139" s="599">
        <v>61949976.076127306</v>
      </c>
      <c r="AJ139" s="599">
        <v>36931418.627492502</v>
      </c>
      <c r="AK139" s="602">
        <f t="shared" si="179"/>
        <v>0.59614903776733152</v>
      </c>
      <c r="AL139" s="603">
        <f t="shared" si="131"/>
        <v>1103787.0839747488</v>
      </c>
      <c r="AM139" s="600">
        <f t="shared" si="180"/>
        <v>9103787.0839747488</v>
      </c>
      <c r="AN139" s="600">
        <f t="shared" si="193"/>
        <v>9103787.0839747488</v>
      </c>
      <c r="AO139" s="600">
        <f t="shared" si="133"/>
        <v>0</v>
      </c>
      <c r="AP139" s="600">
        <f t="shared" si="134"/>
        <v>23914770.364660058</v>
      </c>
      <c r="AQ139" s="600">
        <f t="shared" si="181"/>
        <v>0</v>
      </c>
      <c r="AR139" s="600">
        <f t="shared" si="182"/>
        <v>9103787.0839747488</v>
      </c>
      <c r="AS139" s="604">
        <f t="shared" si="194"/>
        <v>0</v>
      </c>
      <c r="AT139" s="605">
        <f t="shared" si="195"/>
        <v>0</v>
      </c>
      <c r="AU139" s="600">
        <f t="shared" si="196"/>
        <v>9103787.0839747488</v>
      </c>
      <c r="AV139" s="600">
        <f t="shared" si="197"/>
        <v>9103787.0839747488</v>
      </c>
      <c r="AW139" s="600">
        <f t="shared" si="198"/>
        <v>0</v>
      </c>
      <c r="AX139" s="600">
        <f t="shared" si="199"/>
        <v>23914770.364660058</v>
      </c>
      <c r="AY139" s="600">
        <f t="shared" si="200"/>
        <v>4.705348712594984E-11</v>
      </c>
      <c r="AZ139" s="600">
        <f t="shared" si="201"/>
        <v>9103787.0839747488</v>
      </c>
      <c r="BA139" s="600">
        <f t="shared" si="202"/>
        <v>0</v>
      </c>
      <c r="BB139" s="600">
        <f t="shared" si="203"/>
        <v>0</v>
      </c>
      <c r="BC139" s="600">
        <f t="shared" si="204"/>
        <v>0</v>
      </c>
      <c r="BD139" s="600">
        <f t="shared" si="205"/>
        <v>0</v>
      </c>
      <c r="BE139" s="600">
        <f t="shared" si="206"/>
        <v>23914770.364660058</v>
      </c>
      <c r="BF139" s="600">
        <f t="shared" si="207"/>
        <v>9103787.0839747488</v>
      </c>
      <c r="BG139" s="600">
        <v>0</v>
      </c>
      <c r="BH139" s="600">
        <v>0</v>
      </c>
      <c r="BI139" s="600">
        <f t="shared" si="208"/>
        <v>0</v>
      </c>
      <c r="BJ139" s="600">
        <f t="shared" si="209"/>
        <v>9103787.0800000001</v>
      </c>
      <c r="BK139" s="600">
        <f t="shared" si="210"/>
        <v>3198160.4012039998</v>
      </c>
      <c r="BL139" s="600">
        <v>9103787.0800000001</v>
      </c>
      <c r="BM139" s="600">
        <f t="shared" si="211"/>
        <v>0</v>
      </c>
      <c r="BN139" s="600">
        <f t="shared" si="212"/>
        <v>0</v>
      </c>
      <c r="BO139" s="600">
        <f t="shared" si="213"/>
        <v>0</v>
      </c>
      <c r="BP139" s="600">
        <f t="shared" si="214"/>
        <v>3198160.4012039998</v>
      </c>
      <c r="BQ139" s="600">
        <f t="shared" si="215"/>
        <v>0</v>
      </c>
      <c r="BR139" s="600">
        <f t="shared" si="216"/>
        <v>0</v>
      </c>
      <c r="BT139" s="606">
        <f t="shared" si="217"/>
        <v>1</v>
      </c>
      <c r="BU139" s="607">
        <f t="shared" si="218"/>
        <v>0</v>
      </c>
      <c r="BV139" s="606">
        <f t="shared" si="219"/>
        <v>1</v>
      </c>
      <c r="BW139" s="607">
        <f t="shared" si="220"/>
        <v>0</v>
      </c>
      <c r="BX139" s="607">
        <f t="shared" si="221"/>
        <v>0</v>
      </c>
      <c r="BY139" s="607">
        <f t="shared" si="222"/>
        <v>0</v>
      </c>
      <c r="BZ139" s="607">
        <f t="shared" si="223"/>
        <v>0</v>
      </c>
      <c r="CA139" s="607">
        <f t="shared" si="224"/>
        <v>0</v>
      </c>
      <c r="CB139" s="607">
        <f t="shared" si="183"/>
        <v>0</v>
      </c>
      <c r="CC139" s="607">
        <f t="shared" si="225"/>
        <v>0</v>
      </c>
      <c r="CD139" s="607">
        <f t="shared" si="226"/>
        <v>0</v>
      </c>
      <c r="CE139" s="607">
        <f t="shared" si="227"/>
        <v>0</v>
      </c>
      <c r="CF139" s="607">
        <f t="shared" si="228"/>
        <v>0</v>
      </c>
      <c r="CG139" s="607">
        <f t="shared" si="229"/>
        <v>0</v>
      </c>
      <c r="CH139" s="607">
        <f t="shared" si="230"/>
        <v>9103787.0800000001</v>
      </c>
      <c r="CI139" s="609"/>
      <c r="CK139" s="610" t="str">
        <f t="shared" si="184"/>
        <v/>
      </c>
      <c r="CL139" s="611" t="str">
        <f>IF(CK139="","",COUNTIFS($CK$16:CK139,"Yes")+MAX(State!AD:AD))</f>
        <v/>
      </c>
      <c r="CM139" s="612" t="b">
        <f>IF(C139="", "", AND(INDEX('Summary Dynamic'!$D$8:$D$10, MATCH(H139, 'Summary Dynamic'!$C$8:$C$10, 0))="Include", INDEX('Summary Dynamic'!$D$12:$D$14, MATCH(I139, 'Summary Dynamic'!$C$12:$C$14, 0))="Include", INDEX('Summary Dynamic'!$D$16:$D$17, MATCH(J139, 'Summary Dynamic'!$C$16:$C$17, 0))="Include", INDEX('Summary Dynamic'!$D$19:$D$20, MATCH(K139, 'Summary Dynamic'!$C$19:$C$20, 0))="Include", INDEX('Summary Dynamic'!$D$25:$D$26, MATCH(L139, 'Summary Dynamic'!$C$25:$C$26, 0))="Include",'Summary Dynamic'!$D$23="Include"))</f>
        <v>1</v>
      </c>
      <c r="CN139" s="613">
        <f>IFERROR(IF(CM139=TRUE, COUNTIFS($CM$16:CM139, TRUE), ""), "")</f>
        <v>124</v>
      </c>
      <c r="CP139" s="614" t="str">
        <f t="shared" si="231"/>
        <v>Non-Rural Private</v>
      </c>
      <c r="CY139" s="615"/>
      <c r="CZ139" s="616"/>
    </row>
    <row r="140" spans="2:104" x14ac:dyDescent="0.25">
      <c r="B140" s="617">
        <f t="shared" si="173"/>
        <v>125</v>
      </c>
      <c r="C140" s="593" t="s">
        <v>890</v>
      </c>
      <c r="D140" s="594" t="s">
        <v>890</v>
      </c>
      <c r="E140" s="594" t="s">
        <v>891</v>
      </c>
      <c r="F140" s="407" t="s">
        <v>892</v>
      </c>
      <c r="G140" s="408" t="s">
        <v>650</v>
      </c>
      <c r="H140" s="408" t="s">
        <v>22</v>
      </c>
      <c r="I140" s="408" t="s">
        <v>26</v>
      </c>
      <c r="J140" s="408" t="s">
        <v>35</v>
      </c>
      <c r="K140" s="408" t="s">
        <v>35</v>
      </c>
      <c r="L140" s="408" t="s">
        <v>35</v>
      </c>
      <c r="M140" s="408" t="s">
        <v>35</v>
      </c>
      <c r="N140" s="595" t="str">
        <f t="shared" si="189"/>
        <v>No</v>
      </c>
      <c r="O140" s="596">
        <v>5079</v>
      </c>
      <c r="P140" s="596">
        <v>38762</v>
      </c>
      <c r="Q140" s="597">
        <v>8.1073249844899359E-2</v>
      </c>
      <c r="R140" s="596">
        <f t="shared" si="174"/>
        <v>3142.561310487989</v>
      </c>
      <c r="S140" s="596">
        <f t="shared" si="175"/>
        <v>8221.5613104879885</v>
      </c>
      <c r="T140" s="596">
        <f t="shared" si="190"/>
        <v>8221.5613104879885</v>
      </c>
      <c r="U140" s="598">
        <f t="shared" si="176"/>
        <v>1.9234533283374526E-3</v>
      </c>
      <c r="V140" s="599">
        <f t="shared" si="185"/>
        <v>0</v>
      </c>
      <c r="W140" s="600">
        <v>10429231.057849512</v>
      </c>
      <c r="X140" s="600">
        <v>0</v>
      </c>
      <c r="Y140" s="600">
        <v>3467564.0991290808</v>
      </c>
      <c r="Z140" s="600">
        <f t="shared" si="177"/>
        <v>0</v>
      </c>
      <c r="AA140" s="600">
        <f t="shared" si="178"/>
        <v>10429231.057849512</v>
      </c>
      <c r="AB140" s="601">
        <f t="shared" si="191"/>
        <v>0</v>
      </c>
      <c r="AC140" s="599">
        <v>3453242.4507800788</v>
      </c>
      <c r="AD140" s="599">
        <f>MAX(IF(M140="Yes",'Assumption Inputs'!$C$40,'Assumption Inputs'!$C$41),AC140)</f>
        <v>6000000</v>
      </c>
      <c r="AE140" s="599">
        <f t="shared" si="186"/>
        <v>6000000</v>
      </c>
      <c r="AF140" s="599">
        <f t="shared" si="192"/>
        <v>0</v>
      </c>
      <c r="AG140" s="599">
        <f t="shared" si="187"/>
        <v>0</v>
      </c>
      <c r="AH140" s="599">
        <f t="shared" si="188"/>
        <v>6000000</v>
      </c>
      <c r="AI140" s="599">
        <v>31031383.648305506</v>
      </c>
      <c r="AJ140" s="599">
        <v>26602152.590455998</v>
      </c>
      <c r="AK140" s="602">
        <f t="shared" si="179"/>
        <v>0.85726607913948527</v>
      </c>
      <c r="AL140" s="603">
        <f t="shared" si="131"/>
        <v>0</v>
      </c>
      <c r="AM140" s="600">
        <f t="shared" si="180"/>
        <v>6000000</v>
      </c>
      <c r="AN140" s="600">
        <f t="shared" si="193"/>
        <v>6000000</v>
      </c>
      <c r="AO140" s="600">
        <f t="shared" si="133"/>
        <v>0</v>
      </c>
      <c r="AP140" s="600">
        <f t="shared" si="134"/>
        <v>4429231.0578495115</v>
      </c>
      <c r="AQ140" s="600">
        <f t="shared" si="181"/>
        <v>0</v>
      </c>
      <c r="AR140" s="600">
        <f t="shared" si="182"/>
        <v>6000000</v>
      </c>
      <c r="AS140" s="604">
        <f t="shared" si="194"/>
        <v>0</v>
      </c>
      <c r="AT140" s="605">
        <f t="shared" si="195"/>
        <v>0</v>
      </c>
      <c r="AU140" s="600">
        <f t="shared" si="196"/>
        <v>6000000</v>
      </c>
      <c r="AV140" s="600">
        <f t="shared" si="197"/>
        <v>6000000</v>
      </c>
      <c r="AW140" s="600">
        <f t="shared" si="198"/>
        <v>0</v>
      </c>
      <c r="AX140" s="600">
        <f t="shared" si="199"/>
        <v>4429231.0578495115</v>
      </c>
      <c r="AY140" s="600">
        <f t="shared" si="200"/>
        <v>8.7147299924049132E-12</v>
      </c>
      <c r="AZ140" s="600">
        <f t="shared" si="201"/>
        <v>6000000</v>
      </c>
      <c r="BA140" s="600">
        <f t="shared" si="202"/>
        <v>0</v>
      </c>
      <c r="BB140" s="600">
        <f t="shared" si="203"/>
        <v>0</v>
      </c>
      <c r="BC140" s="600">
        <f t="shared" si="204"/>
        <v>0</v>
      </c>
      <c r="BD140" s="600">
        <f t="shared" si="205"/>
        <v>0</v>
      </c>
      <c r="BE140" s="600">
        <f t="shared" si="206"/>
        <v>4429231.0578495115</v>
      </c>
      <c r="BF140" s="600">
        <f t="shared" si="207"/>
        <v>6000000</v>
      </c>
      <c r="BG140" s="600">
        <v>0</v>
      </c>
      <c r="BH140" s="600">
        <v>0</v>
      </c>
      <c r="BI140" s="600">
        <f t="shared" si="208"/>
        <v>0</v>
      </c>
      <c r="BJ140" s="600">
        <f t="shared" si="209"/>
        <v>6000000</v>
      </c>
      <c r="BK140" s="600">
        <f t="shared" si="210"/>
        <v>2107799.9999999995</v>
      </c>
      <c r="BL140" s="600">
        <v>6000000</v>
      </c>
      <c r="BM140" s="600">
        <f t="shared" si="211"/>
        <v>0</v>
      </c>
      <c r="BN140" s="600">
        <f t="shared" si="212"/>
        <v>0</v>
      </c>
      <c r="BO140" s="600">
        <f t="shared" si="213"/>
        <v>0</v>
      </c>
      <c r="BP140" s="600">
        <f t="shared" si="214"/>
        <v>2107799.9999999995</v>
      </c>
      <c r="BQ140" s="600">
        <f t="shared" si="215"/>
        <v>0</v>
      </c>
      <c r="BR140" s="600">
        <f t="shared" si="216"/>
        <v>0</v>
      </c>
      <c r="BT140" s="606">
        <f t="shared" si="217"/>
        <v>1</v>
      </c>
      <c r="BU140" s="607">
        <f t="shared" si="218"/>
        <v>0</v>
      </c>
      <c r="BV140" s="606">
        <f t="shared" si="219"/>
        <v>1</v>
      </c>
      <c r="BW140" s="607">
        <f t="shared" si="220"/>
        <v>0</v>
      </c>
      <c r="BX140" s="607">
        <f t="shared" si="221"/>
        <v>0</v>
      </c>
      <c r="BY140" s="607">
        <f t="shared" si="222"/>
        <v>0</v>
      </c>
      <c r="BZ140" s="607">
        <f t="shared" si="223"/>
        <v>0</v>
      </c>
      <c r="CA140" s="607">
        <f t="shared" si="224"/>
        <v>0</v>
      </c>
      <c r="CB140" s="607">
        <f t="shared" si="183"/>
        <v>0</v>
      </c>
      <c r="CC140" s="607">
        <f t="shared" si="225"/>
        <v>0</v>
      </c>
      <c r="CD140" s="607">
        <f t="shared" si="226"/>
        <v>0</v>
      </c>
      <c r="CE140" s="607">
        <f t="shared" si="227"/>
        <v>0</v>
      </c>
      <c r="CF140" s="607">
        <f t="shared" si="228"/>
        <v>0</v>
      </c>
      <c r="CG140" s="607">
        <f t="shared" si="229"/>
        <v>0</v>
      </c>
      <c r="CH140" s="607">
        <f t="shared" si="230"/>
        <v>6000000</v>
      </c>
      <c r="CI140" s="609"/>
      <c r="CK140" s="610" t="str">
        <f t="shared" si="184"/>
        <v/>
      </c>
      <c r="CL140" s="611" t="str">
        <f>IF(CK140="","",COUNTIFS($CK$16:CK140,"Yes")+MAX(State!AD:AD))</f>
        <v/>
      </c>
      <c r="CM140" s="612" t="b">
        <f>IF(C140="", "", AND(INDEX('Summary Dynamic'!$D$8:$D$10, MATCH(H140, 'Summary Dynamic'!$C$8:$C$10, 0))="Include", INDEX('Summary Dynamic'!$D$12:$D$14, MATCH(I140, 'Summary Dynamic'!$C$12:$C$14, 0))="Include", INDEX('Summary Dynamic'!$D$16:$D$17, MATCH(J140, 'Summary Dynamic'!$C$16:$C$17, 0))="Include", INDEX('Summary Dynamic'!$D$19:$D$20, MATCH(K140, 'Summary Dynamic'!$C$19:$C$20, 0))="Include", INDEX('Summary Dynamic'!$D$25:$D$26, MATCH(L140, 'Summary Dynamic'!$C$25:$C$26, 0))="Include",'Summary Dynamic'!$D$23="Include"))</f>
        <v>1</v>
      </c>
      <c r="CN140" s="613">
        <f>IFERROR(IF(CM140=TRUE, COUNTIFS($CM$16:CM140, TRUE), ""), "")</f>
        <v>125</v>
      </c>
      <c r="CP140" s="614" t="str">
        <f t="shared" si="231"/>
        <v>Non-Rural Private</v>
      </c>
      <c r="CY140" s="615"/>
      <c r="CZ140" s="616"/>
    </row>
    <row r="141" spans="2:104" x14ac:dyDescent="0.25">
      <c r="B141" s="617">
        <f t="shared" si="173"/>
        <v>126</v>
      </c>
      <c r="C141" s="593" t="s">
        <v>81</v>
      </c>
      <c r="D141" s="594" t="s">
        <v>81</v>
      </c>
      <c r="E141" s="594" t="s">
        <v>893</v>
      </c>
      <c r="F141" s="407" t="s">
        <v>82</v>
      </c>
      <c r="G141" s="408" t="s">
        <v>318</v>
      </c>
      <c r="H141" s="408" t="s">
        <v>22</v>
      </c>
      <c r="I141" s="408" t="s">
        <v>26</v>
      </c>
      <c r="J141" s="408" t="s">
        <v>35</v>
      </c>
      <c r="K141" s="408" t="s">
        <v>35</v>
      </c>
      <c r="L141" s="408" t="s">
        <v>37</v>
      </c>
      <c r="M141" s="408" t="s">
        <v>35</v>
      </c>
      <c r="N141" s="595" t="str">
        <f t="shared" si="189"/>
        <v>No</v>
      </c>
      <c r="O141" s="596">
        <v>11061</v>
      </c>
      <c r="P141" s="596">
        <v>26775</v>
      </c>
      <c r="Q141" s="597">
        <v>0.42213284135871509</v>
      </c>
      <c r="R141" s="596">
        <f t="shared" si="174"/>
        <v>11302.606827379597</v>
      </c>
      <c r="S141" s="596">
        <f t="shared" si="175"/>
        <v>22363.606827379597</v>
      </c>
      <c r="T141" s="596">
        <f t="shared" si="190"/>
        <v>22363.606827379597</v>
      </c>
      <c r="U141" s="598">
        <f t="shared" si="176"/>
        <v>5.2320176620078386E-3</v>
      </c>
      <c r="V141" s="599">
        <f t="shared" si="185"/>
        <v>0</v>
      </c>
      <c r="W141" s="600">
        <v>2206696.38549871</v>
      </c>
      <c r="X141" s="600">
        <v>0</v>
      </c>
      <c r="Y141" s="600">
        <v>134278.4048482971</v>
      </c>
      <c r="Z141" s="600">
        <f t="shared" si="177"/>
        <v>0</v>
      </c>
      <c r="AA141" s="600">
        <f t="shared" si="178"/>
        <v>2206696.38549871</v>
      </c>
      <c r="AB141" s="601">
        <f t="shared" si="191"/>
        <v>0</v>
      </c>
      <c r="AC141" s="599">
        <v>635743.16780351696</v>
      </c>
      <c r="AD141" s="599">
        <f>MAX(IF(M141="Yes",'Assumption Inputs'!$C$40,'Assumption Inputs'!$C$41),AC141)</f>
        <v>6000000</v>
      </c>
      <c r="AE141" s="599">
        <f t="shared" si="186"/>
        <v>1431483.9452730133</v>
      </c>
      <c r="AF141" s="599">
        <f t="shared" si="192"/>
        <v>0</v>
      </c>
      <c r="AG141" s="599">
        <f t="shared" si="187"/>
        <v>0</v>
      </c>
      <c r="AH141" s="599">
        <f t="shared" si="188"/>
        <v>1431483.9452730133</v>
      </c>
      <c r="AI141" s="599">
        <v>11390499.644327849</v>
      </c>
      <c r="AJ141" s="599">
        <v>10615287.204102155</v>
      </c>
      <c r="AK141" s="602">
        <f t="shared" si="179"/>
        <v>0.93194219178859916</v>
      </c>
      <c r="AL141" s="603">
        <f t="shared" si="131"/>
        <v>0</v>
      </c>
      <c r="AM141" s="600">
        <f t="shared" si="180"/>
        <v>1431483.9452730133</v>
      </c>
      <c r="AN141" s="600">
        <f t="shared" si="193"/>
        <v>1431483.9452730133</v>
      </c>
      <c r="AO141" s="600">
        <f t="shared" si="133"/>
        <v>0</v>
      </c>
      <c r="AP141" s="600">
        <f t="shared" si="134"/>
        <v>775212.44022569666</v>
      </c>
      <c r="AQ141" s="600">
        <f t="shared" si="181"/>
        <v>0</v>
      </c>
      <c r="AR141" s="600">
        <f t="shared" si="182"/>
        <v>1431483.9452730133</v>
      </c>
      <c r="AS141" s="604">
        <f t="shared" si="194"/>
        <v>0</v>
      </c>
      <c r="AT141" s="605">
        <f t="shared" si="195"/>
        <v>0</v>
      </c>
      <c r="AU141" s="600">
        <f t="shared" si="196"/>
        <v>1431483.9452730133</v>
      </c>
      <c r="AV141" s="600">
        <f t="shared" si="197"/>
        <v>1431483.9452730133</v>
      </c>
      <c r="AW141" s="600">
        <f t="shared" si="198"/>
        <v>0</v>
      </c>
      <c r="AX141" s="600">
        <f t="shared" si="199"/>
        <v>775212.44022569666</v>
      </c>
      <c r="AY141" s="600">
        <f t="shared" si="200"/>
        <v>1.5252686109810563E-12</v>
      </c>
      <c r="AZ141" s="600">
        <f t="shared" si="201"/>
        <v>1431483.9452730133</v>
      </c>
      <c r="BA141" s="600">
        <f t="shared" si="202"/>
        <v>0</v>
      </c>
      <c r="BB141" s="600">
        <f t="shared" si="203"/>
        <v>0</v>
      </c>
      <c r="BC141" s="600">
        <f t="shared" si="204"/>
        <v>0</v>
      </c>
      <c r="BD141" s="600">
        <f t="shared" si="205"/>
        <v>0</v>
      </c>
      <c r="BE141" s="600">
        <f t="shared" si="206"/>
        <v>775212.44022569666</v>
      </c>
      <c r="BF141" s="600">
        <f t="shared" si="207"/>
        <v>1431483.9452730133</v>
      </c>
      <c r="BG141" s="600">
        <v>0</v>
      </c>
      <c r="BH141" s="600">
        <v>0</v>
      </c>
      <c r="BI141" s="600">
        <f t="shared" si="208"/>
        <v>0</v>
      </c>
      <c r="BJ141" s="600">
        <f t="shared" si="209"/>
        <v>1431483.95</v>
      </c>
      <c r="BK141" s="600">
        <f t="shared" si="210"/>
        <v>502880.31163499993</v>
      </c>
      <c r="BL141" s="600">
        <v>1431483.95</v>
      </c>
      <c r="BM141" s="600">
        <f t="shared" si="211"/>
        <v>0</v>
      </c>
      <c r="BN141" s="600">
        <f t="shared" si="212"/>
        <v>0</v>
      </c>
      <c r="BO141" s="600">
        <f t="shared" si="213"/>
        <v>0</v>
      </c>
      <c r="BP141" s="600">
        <f t="shared" si="214"/>
        <v>502880.31163499993</v>
      </c>
      <c r="BQ141" s="600">
        <f t="shared" si="215"/>
        <v>0</v>
      </c>
      <c r="BR141" s="600">
        <f t="shared" si="216"/>
        <v>0</v>
      </c>
      <c r="BT141" s="606">
        <f t="shared" si="217"/>
        <v>1</v>
      </c>
      <c r="BU141" s="607">
        <f t="shared" si="218"/>
        <v>0</v>
      </c>
      <c r="BV141" s="606">
        <f t="shared" si="219"/>
        <v>1</v>
      </c>
      <c r="BW141" s="607">
        <f t="shared" si="220"/>
        <v>0</v>
      </c>
      <c r="BX141" s="607">
        <f t="shared" si="221"/>
        <v>0</v>
      </c>
      <c r="BY141" s="607">
        <f t="shared" si="222"/>
        <v>0</v>
      </c>
      <c r="BZ141" s="607">
        <f t="shared" si="223"/>
        <v>0</v>
      </c>
      <c r="CA141" s="607">
        <f t="shared" si="224"/>
        <v>0</v>
      </c>
      <c r="CB141" s="607">
        <f t="shared" si="183"/>
        <v>0</v>
      </c>
      <c r="CC141" s="607">
        <f t="shared" si="225"/>
        <v>0</v>
      </c>
      <c r="CD141" s="607">
        <f t="shared" si="226"/>
        <v>0</v>
      </c>
      <c r="CE141" s="607">
        <f t="shared" si="227"/>
        <v>0</v>
      </c>
      <c r="CF141" s="607">
        <f t="shared" si="228"/>
        <v>0</v>
      </c>
      <c r="CG141" s="607">
        <f t="shared" si="229"/>
        <v>0</v>
      </c>
      <c r="CH141" s="607">
        <f t="shared" si="230"/>
        <v>1431483.95</v>
      </c>
      <c r="CI141" s="609"/>
      <c r="CK141" s="610" t="str">
        <f t="shared" si="184"/>
        <v/>
      </c>
      <c r="CL141" s="611" t="str">
        <f>IF(CK141="","",COUNTIFS($CK$16:CK141,"Yes")+MAX(State!AD:AD))</f>
        <v/>
      </c>
      <c r="CM141" s="612" t="b">
        <f>IF(C141="", "", AND(INDEX('Summary Dynamic'!$D$8:$D$10, MATCH(H141, 'Summary Dynamic'!$C$8:$C$10, 0))="Include", INDEX('Summary Dynamic'!$D$12:$D$14, MATCH(I141, 'Summary Dynamic'!$C$12:$C$14, 0))="Include", INDEX('Summary Dynamic'!$D$16:$D$17, MATCH(J141, 'Summary Dynamic'!$C$16:$C$17, 0))="Include", INDEX('Summary Dynamic'!$D$19:$D$20, MATCH(K141, 'Summary Dynamic'!$C$19:$C$20, 0))="Include", INDEX('Summary Dynamic'!$D$25:$D$26, MATCH(L141, 'Summary Dynamic'!$C$25:$C$26, 0))="Include",'Summary Dynamic'!$D$23="Include"))</f>
        <v>1</v>
      </c>
      <c r="CN141" s="613">
        <f>IFERROR(IF(CM141=TRUE, COUNTIFS($CM$16:CM141, TRUE), ""), "")</f>
        <v>126</v>
      </c>
      <c r="CP141" s="614" t="str">
        <f t="shared" si="231"/>
        <v>Non-Rural Private</v>
      </c>
      <c r="CY141" s="615"/>
      <c r="CZ141" s="616"/>
    </row>
    <row r="142" spans="2:104" x14ac:dyDescent="0.25">
      <c r="B142" s="617">
        <f t="shared" si="173"/>
        <v>127</v>
      </c>
      <c r="C142" s="593" t="s">
        <v>894</v>
      </c>
      <c r="D142" s="594" t="s">
        <v>894</v>
      </c>
      <c r="E142" s="594" t="s">
        <v>895</v>
      </c>
      <c r="F142" s="407" t="s">
        <v>896</v>
      </c>
      <c r="G142" s="408" t="s">
        <v>794</v>
      </c>
      <c r="H142" s="408" t="s">
        <v>22</v>
      </c>
      <c r="I142" s="408" t="s">
        <v>26</v>
      </c>
      <c r="J142" s="408" t="s">
        <v>35</v>
      </c>
      <c r="K142" s="408" t="s">
        <v>35</v>
      </c>
      <c r="L142" s="408" t="s">
        <v>37</v>
      </c>
      <c r="M142" s="408" t="s">
        <v>35</v>
      </c>
      <c r="N142" s="595" t="str">
        <f t="shared" si="189"/>
        <v>No</v>
      </c>
      <c r="O142" s="596">
        <v>6514</v>
      </c>
      <c r="P142" s="596">
        <v>22575</v>
      </c>
      <c r="Q142" s="597">
        <v>0.22154020257514892</v>
      </c>
      <c r="R142" s="596">
        <f t="shared" si="174"/>
        <v>5001.2700731339864</v>
      </c>
      <c r="S142" s="596">
        <f t="shared" si="175"/>
        <v>11515.270073133986</v>
      </c>
      <c r="T142" s="596">
        <f t="shared" si="190"/>
        <v>11515.270073133986</v>
      </c>
      <c r="U142" s="598">
        <f t="shared" si="176"/>
        <v>2.6940241290446055E-3</v>
      </c>
      <c r="V142" s="599">
        <f t="shared" si="185"/>
        <v>0</v>
      </c>
      <c r="W142" s="600">
        <v>2907872.9127483643</v>
      </c>
      <c r="X142" s="600">
        <v>0</v>
      </c>
      <c r="Y142" s="600">
        <v>0</v>
      </c>
      <c r="Z142" s="600">
        <f t="shared" si="177"/>
        <v>0</v>
      </c>
      <c r="AA142" s="600">
        <f t="shared" si="178"/>
        <v>2907872.9127483643</v>
      </c>
      <c r="AB142" s="601">
        <f t="shared" si="191"/>
        <v>0</v>
      </c>
      <c r="AC142" s="599">
        <v>0</v>
      </c>
      <c r="AD142" s="599">
        <f>MAX(IF(M142="Yes",'Assumption Inputs'!$C$40,'Assumption Inputs'!$C$41),AC142)</f>
        <v>6000000</v>
      </c>
      <c r="AE142" s="599">
        <f t="shared" si="186"/>
        <v>1886337.1584998642</v>
      </c>
      <c r="AF142" s="599">
        <f t="shared" si="192"/>
        <v>0</v>
      </c>
      <c r="AG142" s="599">
        <f t="shared" si="187"/>
        <v>0</v>
      </c>
      <c r="AH142" s="599">
        <f t="shared" si="188"/>
        <v>1886337.1584998642</v>
      </c>
      <c r="AI142" s="599">
        <v>10672986.457482733</v>
      </c>
      <c r="AJ142" s="599">
        <v>9651450.703234233</v>
      </c>
      <c r="AK142" s="602">
        <f t="shared" si="179"/>
        <v>0.90428773068176149</v>
      </c>
      <c r="AL142" s="603">
        <f t="shared" si="131"/>
        <v>0</v>
      </c>
      <c r="AM142" s="600">
        <f t="shared" si="180"/>
        <v>1886337.1584998642</v>
      </c>
      <c r="AN142" s="600">
        <f t="shared" si="193"/>
        <v>1886337.1584998642</v>
      </c>
      <c r="AO142" s="600">
        <f t="shared" si="133"/>
        <v>0</v>
      </c>
      <c r="AP142" s="600">
        <f t="shared" si="134"/>
        <v>1021535.7542485001</v>
      </c>
      <c r="AQ142" s="600">
        <f t="shared" si="181"/>
        <v>0</v>
      </c>
      <c r="AR142" s="600">
        <f t="shared" si="182"/>
        <v>1886337.1584998642</v>
      </c>
      <c r="AS142" s="604">
        <f t="shared" si="194"/>
        <v>0</v>
      </c>
      <c r="AT142" s="605">
        <f t="shared" si="195"/>
        <v>0</v>
      </c>
      <c r="AU142" s="600">
        <f t="shared" si="196"/>
        <v>1886337.1584998642</v>
      </c>
      <c r="AV142" s="600">
        <f t="shared" si="197"/>
        <v>1886337.1584998642</v>
      </c>
      <c r="AW142" s="600">
        <f t="shared" si="198"/>
        <v>0</v>
      </c>
      <c r="AX142" s="600">
        <f t="shared" si="199"/>
        <v>1021535.7542485001</v>
      </c>
      <c r="AY142" s="600">
        <f t="shared" si="200"/>
        <v>2.0099218486437896E-12</v>
      </c>
      <c r="AZ142" s="600">
        <f t="shared" si="201"/>
        <v>1886337.1584998642</v>
      </c>
      <c r="BA142" s="600">
        <f t="shared" si="202"/>
        <v>0</v>
      </c>
      <c r="BB142" s="600">
        <f t="shared" si="203"/>
        <v>0</v>
      </c>
      <c r="BC142" s="600">
        <f t="shared" si="204"/>
        <v>0</v>
      </c>
      <c r="BD142" s="600">
        <f t="shared" si="205"/>
        <v>0</v>
      </c>
      <c r="BE142" s="600">
        <f t="shared" si="206"/>
        <v>1021535.7542485001</v>
      </c>
      <c r="BF142" s="600">
        <f t="shared" si="207"/>
        <v>1886337.1584998642</v>
      </c>
      <c r="BG142" s="600">
        <v>0</v>
      </c>
      <c r="BH142" s="600">
        <v>0</v>
      </c>
      <c r="BI142" s="600">
        <f t="shared" si="208"/>
        <v>0</v>
      </c>
      <c r="BJ142" s="600">
        <f t="shared" si="209"/>
        <v>1886337.16</v>
      </c>
      <c r="BK142" s="600">
        <f t="shared" si="210"/>
        <v>662670.24430799985</v>
      </c>
      <c r="BL142" s="600">
        <v>1886337.16</v>
      </c>
      <c r="BM142" s="600">
        <f t="shared" si="211"/>
        <v>0</v>
      </c>
      <c r="BN142" s="600">
        <f t="shared" si="212"/>
        <v>0</v>
      </c>
      <c r="BO142" s="600">
        <f t="shared" si="213"/>
        <v>0</v>
      </c>
      <c r="BP142" s="600">
        <f t="shared" si="214"/>
        <v>662670.24430799985</v>
      </c>
      <c r="BQ142" s="600">
        <f t="shared" si="215"/>
        <v>0</v>
      </c>
      <c r="BR142" s="600">
        <f t="shared" si="216"/>
        <v>0</v>
      </c>
      <c r="BT142" s="606">
        <f t="shared" si="217"/>
        <v>1</v>
      </c>
      <c r="BU142" s="607">
        <f t="shared" si="218"/>
        <v>0</v>
      </c>
      <c r="BV142" s="606">
        <f t="shared" si="219"/>
        <v>1</v>
      </c>
      <c r="BW142" s="607">
        <f t="shared" si="220"/>
        <v>0</v>
      </c>
      <c r="BX142" s="607">
        <f t="shared" si="221"/>
        <v>0</v>
      </c>
      <c r="BY142" s="607">
        <f t="shared" si="222"/>
        <v>0</v>
      </c>
      <c r="BZ142" s="607">
        <f t="shared" si="223"/>
        <v>0</v>
      </c>
      <c r="CA142" s="607">
        <f t="shared" si="224"/>
        <v>0</v>
      </c>
      <c r="CB142" s="607">
        <f t="shared" si="183"/>
        <v>0</v>
      </c>
      <c r="CC142" s="607">
        <f t="shared" si="225"/>
        <v>0</v>
      </c>
      <c r="CD142" s="607">
        <f t="shared" si="226"/>
        <v>0</v>
      </c>
      <c r="CE142" s="607">
        <f t="shared" si="227"/>
        <v>0</v>
      </c>
      <c r="CF142" s="607">
        <f t="shared" si="228"/>
        <v>0</v>
      </c>
      <c r="CG142" s="607">
        <f t="shared" si="229"/>
        <v>0</v>
      </c>
      <c r="CH142" s="607">
        <f t="shared" si="230"/>
        <v>1886337.16</v>
      </c>
      <c r="CI142" s="609"/>
      <c r="CK142" s="610" t="str">
        <f t="shared" si="184"/>
        <v/>
      </c>
      <c r="CL142" s="611" t="str">
        <f>IF(CK142="","",COUNTIFS($CK$16:CK142,"Yes")+MAX(State!AD:AD))</f>
        <v/>
      </c>
      <c r="CM142" s="612" t="b">
        <f>IF(C142="", "", AND(INDEX('Summary Dynamic'!$D$8:$D$10, MATCH(H142, 'Summary Dynamic'!$C$8:$C$10, 0))="Include", INDEX('Summary Dynamic'!$D$12:$D$14, MATCH(I142, 'Summary Dynamic'!$C$12:$C$14, 0))="Include", INDEX('Summary Dynamic'!$D$16:$D$17, MATCH(J142, 'Summary Dynamic'!$C$16:$C$17, 0))="Include", INDEX('Summary Dynamic'!$D$19:$D$20, MATCH(K142, 'Summary Dynamic'!$C$19:$C$20, 0))="Include", INDEX('Summary Dynamic'!$D$25:$D$26, MATCH(L142, 'Summary Dynamic'!$C$25:$C$26, 0))="Include",'Summary Dynamic'!$D$23="Include"))</f>
        <v>1</v>
      </c>
      <c r="CN142" s="613">
        <f>IFERROR(IF(CM142=TRUE, COUNTIFS($CM$16:CM142, TRUE), ""), "")</f>
        <v>127</v>
      </c>
      <c r="CP142" s="614" t="str">
        <f t="shared" si="231"/>
        <v>Non-Rural Private</v>
      </c>
      <c r="CY142" s="615"/>
      <c r="CZ142" s="616"/>
    </row>
    <row r="143" spans="2:104" x14ac:dyDescent="0.25">
      <c r="B143" s="617">
        <f t="shared" si="173"/>
        <v>128</v>
      </c>
      <c r="C143" s="593" t="s">
        <v>897</v>
      </c>
      <c r="D143" s="594" t="s">
        <v>897</v>
      </c>
      <c r="E143" s="594" t="s">
        <v>898</v>
      </c>
      <c r="F143" s="407" t="s">
        <v>899</v>
      </c>
      <c r="G143" s="408" t="s">
        <v>751</v>
      </c>
      <c r="H143" s="408" t="s">
        <v>22</v>
      </c>
      <c r="I143" s="408" t="s">
        <v>26</v>
      </c>
      <c r="J143" s="408" t="s">
        <v>35</v>
      </c>
      <c r="K143" s="408" t="s">
        <v>35</v>
      </c>
      <c r="L143" s="408" t="s">
        <v>37</v>
      </c>
      <c r="M143" s="408" t="s">
        <v>35</v>
      </c>
      <c r="N143" s="595" t="str">
        <f t="shared" si="189"/>
        <v>No</v>
      </c>
      <c r="O143" s="596">
        <v>4161</v>
      </c>
      <c r="P143" s="596">
        <v>15026</v>
      </c>
      <c r="Q143" s="597">
        <v>0.21193478083120193</v>
      </c>
      <c r="R143" s="596">
        <f t="shared" si="174"/>
        <v>3184.53201676964</v>
      </c>
      <c r="S143" s="596">
        <f t="shared" si="175"/>
        <v>7345.53201676964</v>
      </c>
      <c r="T143" s="596">
        <f t="shared" si="190"/>
        <v>7345.53201676964</v>
      </c>
      <c r="U143" s="598">
        <f t="shared" si="176"/>
        <v>1.7185042442049579E-3</v>
      </c>
      <c r="V143" s="599">
        <f t="shared" si="185"/>
        <v>0</v>
      </c>
      <c r="W143" s="600">
        <v>5004962.1853512553</v>
      </c>
      <c r="X143" s="600">
        <v>0</v>
      </c>
      <c r="Y143" s="600">
        <v>0</v>
      </c>
      <c r="Z143" s="600">
        <f t="shared" si="177"/>
        <v>0</v>
      </c>
      <c r="AA143" s="600">
        <f t="shared" si="178"/>
        <v>5004962.1853512553</v>
      </c>
      <c r="AB143" s="601">
        <f t="shared" si="191"/>
        <v>0</v>
      </c>
      <c r="AC143" s="599">
        <v>509762.36041544803</v>
      </c>
      <c r="AD143" s="599">
        <f>MAX(IF(M143="Yes",'Assumption Inputs'!$C$40,'Assumption Inputs'!$C$41),AC143)</f>
        <v>6000000</v>
      </c>
      <c r="AE143" s="599">
        <f t="shared" si="186"/>
        <v>3246718.96963736</v>
      </c>
      <c r="AF143" s="599">
        <f t="shared" si="192"/>
        <v>0</v>
      </c>
      <c r="AG143" s="599">
        <f t="shared" si="187"/>
        <v>0</v>
      </c>
      <c r="AH143" s="599">
        <f t="shared" si="188"/>
        <v>3246718.96963736</v>
      </c>
      <c r="AI143" s="599">
        <v>8789882.1833193675</v>
      </c>
      <c r="AJ143" s="599">
        <v>7031638.9676054716</v>
      </c>
      <c r="AK143" s="602">
        <f t="shared" si="179"/>
        <v>0.79996964930308978</v>
      </c>
      <c r="AL143" s="603">
        <f t="shared" si="131"/>
        <v>0</v>
      </c>
      <c r="AM143" s="600">
        <f t="shared" si="180"/>
        <v>3246718.96963736</v>
      </c>
      <c r="AN143" s="600">
        <f t="shared" si="193"/>
        <v>3246718.96963736</v>
      </c>
      <c r="AO143" s="600">
        <f t="shared" si="133"/>
        <v>0</v>
      </c>
      <c r="AP143" s="600">
        <f t="shared" si="134"/>
        <v>1758243.2157138954</v>
      </c>
      <c r="AQ143" s="600">
        <f t="shared" si="181"/>
        <v>0</v>
      </c>
      <c r="AR143" s="600">
        <f t="shared" si="182"/>
        <v>3246718.96963736</v>
      </c>
      <c r="AS143" s="604">
        <f t="shared" si="194"/>
        <v>0</v>
      </c>
      <c r="AT143" s="605">
        <f t="shared" si="195"/>
        <v>0</v>
      </c>
      <c r="AU143" s="600">
        <f t="shared" si="196"/>
        <v>3246718.96963736</v>
      </c>
      <c r="AV143" s="600">
        <f t="shared" si="197"/>
        <v>3246718.96963736</v>
      </c>
      <c r="AW143" s="600">
        <f t="shared" si="198"/>
        <v>0</v>
      </c>
      <c r="AX143" s="600">
        <f t="shared" si="199"/>
        <v>1758243.2157138954</v>
      </c>
      <c r="AY143" s="600">
        <f t="shared" si="200"/>
        <v>3.459430019747899E-12</v>
      </c>
      <c r="AZ143" s="600">
        <f t="shared" si="201"/>
        <v>3246718.96963736</v>
      </c>
      <c r="BA143" s="600">
        <f t="shared" si="202"/>
        <v>0</v>
      </c>
      <c r="BB143" s="600">
        <f t="shared" si="203"/>
        <v>0</v>
      </c>
      <c r="BC143" s="600">
        <f t="shared" si="204"/>
        <v>0</v>
      </c>
      <c r="BD143" s="600">
        <f t="shared" si="205"/>
        <v>0</v>
      </c>
      <c r="BE143" s="600">
        <f t="shared" si="206"/>
        <v>1758243.2157138954</v>
      </c>
      <c r="BF143" s="600">
        <f t="shared" si="207"/>
        <v>3246718.96963736</v>
      </c>
      <c r="BG143" s="600">
        <v>0</v>
      </c>
      <c r="BH143" s="600">
        <v>0</v>
      </c>
      <c r="BI143" s="600">
        <f t="shared" si="208"/>
        <v>0</v>
      </c>
      <c r="BJ143" s="600">
        <f t="shared" si="209"/>
        <v>3246718.97</v>
      </c>
      <c r="BK143" s="600">
        <f t="shared" si="210"/>
        <v>1140572.3741609999</v>
      </c>
      <c r="BL143" s="600">
        <v>3246718.97</v>
      </c>
      <c r="BM143" s="600">
        <f t="shared" si="211"/>
        <v>0</v>
      </c>
      <c r="BN143" s="600">
        <f t="shared" si="212"/>
        <v>0</v>
      </c>
      <c r="BO143" s="600">
        <f t="shared" si="213"/>
        <v>0</v>
      </c>
      <c r="BP143" s="600">
        <f t="shared" si="214"/>
        <v>1140572.3741609999</v>
      </c>
      <c r="BQ143" s="600">
        <f t="shared" si="215"/>
        <v>0</v>
      </c>
      <c r="BR143" s="600">
        <f t="shared" si="216"/>
        <v>0</v>
      </c>
      <c r="BT143" s="606">
        <f t="shared" si="217"/>
        <v>1</v>
      </c>
      <c r="BU143" s="607">
        <f t="shared" si="218"/>
        <v>0</v>
      </c>
      <c r="BV143" s="606">
        <f t="shared" si="219"/>
        <v>1</v>
      </c>
      <c r="BW143" s="607">
        <f t="shared" si="220"/>
        <v>0</v>
      </c>
      <c r="BX143" s="607">
        <f t="shared" si="221"/>
        <v>0</v>
      </c>
      <c r="BY143" s="607">
        <f t="shared" si="222"/>
        <v>0</v>
      </c>
      <c r="BZ143" s="607">
        <f t="shared" si="223"/>
        <v>0</v>
      </c>
      <c r="CA143" s="607">
        <f t="shared" si="224"/>
        <v>0</v>
      </c>
      <c r="CB143" s="607">
        <f t="shared" si="183"/>
        <v>0</v>
      </c>
      <c r="CC143" s="607">
        <f t="shared" si="225"/>
        <v>0</v>
      </c>
      <c r="CD143" s="607">
        <f t="shared" si="226"/>
        <v>0</v>
      </c>
      <c r="CE143" s="607">
        <f t="shared" si="227"/>
        <v>0</v>
      </c>
      <c r="CF143" s="607">
        <f t="shared" si="228"/>
        <v>0</v>
      </c>
      <c r="CG143" s="607">
        <f t="shared" si="229"/>
        <v>0</v>
      </c>
      <c r="CH143" s="607">
        <f t="shared" si="230"/>
        <v>3246718.97</v>
      </c>
      <c r="CI143" s="609"/>
      <c r="CK143" s="610" t="str">
        <f t="shared" si="184"/>
        <v/>
      </c>
      <c r="CL143" s="611" t="str">
        <f>IF(CK143="","",COUNTIFS($CK$16:CK143,"Yes")+MAX(State!AD:AD))</f>
        <v/>
      </c>
      <c r="CM143" s="612" t="b">
        <f>IF(C143="", "", AND(INDEX('Summary Dynamic'!$D$8:$D$10, MATCH(H143, 'Summary Dynamic'!$C$8:$C$10, 0))="Include", INDEX('Summary Dynamic'!$D$12:$D$14, MATCH(I143, 'Summary Dynamic'!$C$12:$C$14, 0))="Include", INDEX('Summary Dynamic'!$D$16:$D$17, MATCH(J143, 'Summary Dynamic'!$C$16:$C$17, 0))="Include", INDEX('Summary Dynamic'!$D$19:$D$20, MATCH(K143, 'Summary Dynamic'!$C$19:$C$20, 0))="Include", INDEX('Summary Dynamic'!$D$25:$D$26, MATCH(L143, 'Summary Dynamic'!$C$25:$C$26, 0))="Include",'Summary Dynamic'!$D$23="Include"))</f>
        <v>1</v>
      </c>
      <c r="CN143" s="613">
        <f>IFERROR(IF(CM143=TRUE, COUNTIFS($CM$16:CM143, TRUE), ""), "")</f>
        <v>128</v>
      </c>
      <c r="CP143" s="614" t="str">
        <f t="shared" si="231"/>
        <v>Non-Rural Private</v>
      </c>
      <c r="CY143" s="615"/>
      <c r="CZ143" s="616"/>
    </row>
    <row r="144" spans="2:104" x14ac:dyDescent="0.25">
      <c r="B144" s="617">
        <f t="shared" si="173"/>
        <v>129</v>
      </c>
      <c r="C144" s="593" t="s">
        <v>900</v>
      </c>
      <c r="D144" s="594" t="s">
        <v>900</v>
      </c>
      <c r="E144" s="594" t="s">
        <v>901</v>
      </c>
      <c r="F144" s="407" t="s">
        <v>902</v>
      </c>
      <c r="G144" s="408" t="s">
        <v>485</v>
      </c>
      <c r="H144" s="408" t="s">
        <v>22</v>
      </c>
      <c r="I144" s="408" t="s">
        <v>26</v>
      </c>
      <c r="J144" s="408" t="s">
        <v>35</v>
      </c>
      <c r="K144" s="408" t="s">
        <v>35</v>
      </c>
      <c r="L144" s="408" t="s">
        <v>37</v>
      </c>
      <c r="M144" s="408" t="s">
        <v>35</v>
      </c>
      <c r="N144" s="595" t="str">
        <f t="shared" ref="N144:N164" si="232">IFERROR(IF(I144="Public",IF(J144="Rural","Yes","No"),IF(J144="","","No")),"")</f>
        <v>No</v>
      </c>
      <c r="O144" s="596">
        <v>5540</v>
      </c>
      <c r="P144" s="596">
        <v>21450</v>
      </c>
      <c r="Q144" s="597">
        <v>0.25561453400735717</v>
      </c>
      <c r="R144" s="596">
        <f t="shared" si="174"/>
        <v>5482.9317544578116</v>
      </c>
      <c r="S144" s="596">
        <f t="shared" si="175"/>
        <v>11022.931754457812</v>
      </c>
      <c r="T144" s="596">
        <f t="shared" ref="T144:T175" si="233">IFERROR(IF(AND(H144="All Others",I144="Public"),S144*Non_TH_Hold_Harmless_Days_Adj,S144),"")</f>
        <v>11022.931754457812</v>
      </c>
      <c r="U144" s="598">
        <f t="shared" si="176"/>
        <v>2.5788404380201633E-3</v>
      </c>
      <c r="V144" s="599">
        <f t="shared" si="185"/>
        <v>0</v>
      </c>
      <c r="W144" s="600">
        <v>1238245.7548631013</v>
      </c>
      <c r="X144" s="600">
        <v>0</v>
      </c>
      <c r="Y144" s="600">
        <v>287349</v>
      </c>
      <c r="Z144" s="600">
        <f t="shared" si="177"/>
        <v>0</v>
      </c>
      <c r="AA144" s="600">
        <f t="shared" si="178"/>
        <v>1238245.7548631013</v>
      </c>
      <c r="AB144" s="601">
        <f t="shared" ref="AB144:AB166" si="234">IF(C144="","",IF(H144="Class 1 (TH)",W144/SUMIF(H:H,"Class 1 (TH)",W:W),0))</f>
        <v>0</v>
      </c>
      <c r="AC144" s="599">
        <v>661213.35454261547</v>
      </c>
      <c r="AD144" s="599">
        <f>MAX(IF(M144="Yes",'Assumption Inputs'!$C$40,'Assumption Inputs'!$C$41),AC144)</f>
        <v>6000000</v>
      </c>
      <c r="AE144" s="599">
        <f t="shared" si="186"/>
        <v>803250.02117969387</v>
      </c>
      <c r="AF144" s="599">
        <f t="shared" ref="AF144:AF175" si="235">IFERROR(IF(C144="","",IF(I144="Public",AE144/Federal_Match_Rate*State_Match_Rate,0)),0)</f>
        <v>0</v>
      </c>
      <c r="AG144" s="599">
        <f t="shared" si="187"/>
        <v>0</v>
      </c>
      <c r="AH144" s="599">
        <f t="shared" si="188"/>
        <v>803250.02117969387</v>
      </c>
      <c r="AI144" s="599">
        <v>9599250.9579855371</v>
      </c>
      <c r="AJ144" s="599">
        <v>9164255.2243021317</v>
      </c>
      <c r="AK144" s="602">
        <f t="shared" si="179"/>
        <v>0.95468440864945447</v>
      </c>
      <c r="AL144" s="603">
        <f t="shared" ref="AL144:AL164" si="236">IF(AK144&gt;$AL$3,0,AI144*$AL$3-AJ144)</f>
        <v>0</v>
      </c>
      <c r="AM144" s="600">
        <f t="shared" si="180"/>
        <v>803250.02117969387</v>
      </c>
      <c r="AN144" s="600">
        <f t="shared" ref="AN144:AN175" si="237">IF(L144="","",MAX(MIN(AM144,AA144),0))</f>
        <v>803250.02117969387</v>
      </c>
      <c r="AO144" s="600">
        <f t="shared" ref="AO144:AO164" si="238">IFERROR(AM144-AN144,"")</f>
        <v>0</v>
      </c>
      <c r="AP144" s="600">
        <f t="shared" ref="AP144:AP164" si="239">IFERROR(MAX(AA144-AN144,0),"")</f>
        <v>434995.73368340742</v>
      </c>
      <c r="AQ144" s="600">
        <f t="shared" si="181"/>
        <v>0</v>
      </c>
      <c r="AR144" s="600">
        <f t="shared" si="182"/>
        <v>803250.02117969387</v>
      </c>
      <c r="AS144" s="604">
        <f t="shared" ref="AS144:AS175" si="240">IFERROR(IF(C144="","",IF(I144="Public",AR144/Federal_Match_Rate*State_Match_Rate,0)),0)</f>
        <v>0</v>
      </c>
      <c r="AT144" s="605">
        <f t="shared" ref="AT144:AT164" si="241">IF(C144="","",($AR$7/Federal_Match_Rate*State_Match_Rate)*AB144)</f>
        <v>0</v>
      </c>
      <c r="AU144" s="600">
        <f t="shared" ref="AU144:AU175" si="242">IF(C144="","",AR144+AS144+AT144)</f>
        <v>803250.02117969387</v>
      </c>
      <c r="AV144" s="600">
        <f t="shared" ref="AV144:AV175" si="243">IF(C144="","",MAX(MIN(AU144,AA144),0))</f>
        <v>803250.02117969387</v>
      </c>
      <c r="AW144" s="600">
        <f t="shared" ref="AW144:AW175" si="244">IF(C144="","",AU144-AV144)</f>
        <v>0</v>
      </c>
      <c r="AX144" s="600">
        <f t="shared" ref="AX144:AX164" si="245">IF(C144="","",MAX(AA144-AV144,0))</f>
        <v>434995.73368340742</v>
      </c>
      <c r="AY144" s="600">
        <f t="shared" ref="AY144:AY175" si="246">IF(C144="","",AX144/$AX$9*$AW$9)</f>
        <v>8.5587550466141641E-13</v>
      </c>
      <c r="AZ144" s="600">
        <f t="shared" ref="AZ144:AZ175" si="247">IF(C144="","",AV144+AY144)</f>
        <v>803250.02117969387</v>
      </c>
      <c r="BA144" s="600">
        <f t="shared" ref="BA144:BA164" si="248">IF(C144="","",IF(OR(I144="Public",I144= "State"),(AW144*State_Match_Rate)*-1,0))</f>
        <v>0</v>
      </c>
      <c r="BB144" s="600">
        <f t="shared" ref="BB144:BB164" si="249">IF(C144="","",IF(OR(I144="Public",I144= "State"),AY144*State_Match_Rate,0))</f>
        <v>0</v>
      </c>
      <c r="BC144" s="600">
        <f t="shared" ref="BC144:BC164" si="250">IF(C144="","",AB144*$AY$3*State_Match_Rate)</f>
        <v>0</v>
      </c>
      <c r="BD144" s="600">
        <f t="shared" ref="BD144:BD175" si="251">IF(C144="","",AS144+AT144+BB144+BC144+BA144)</f>
        <v>0</v>
      </c>
      <c r="BE144" s="600">
        <f t="shared" ref="BE144:BE164" si="252">IF(C144="","",MAX(AA144-AZ144,0))</f>
        <v>434995.73368340742</v>
      </c>
      <c r="BF144" s="600">
        <f t="shared" ref="BF144:BF164" si="253">IF(C144="","",AZ144-BD144)</f>
        <v>803250.02117969387</v>
      </c>
      <c r="BG144" s="600">
        <v>0</v>
      </c>
      <c r="BH144" s="600">
        <v>0</v>
      </c>
      <c r="BI144" s="600">
        <f t="shared" ref="BI144:BI164" si="254">IF(C144="","",0)</f>
        <v>0</v>
      </c>
      <c r="BJ144" s="600">
        <f t="shared" ref="BJ144:BJ164" si="255">IF(C144="","",ROUND(AZ144-BG144,2))</f>
        <v>803250.02</v>
      </c>
      <c r="BK144" s="600">
        <f t="shared" ref="BK144:BK175" si="256">IF(C144="","",BJ144*State_Match_Rate)</f>
        <v>282181.73202599998</v>
      </c>
      <c r="BL144" s="600">
        <v>803250.02</v>
      </c>
      <c r="BM144" s="600">
        <f t="shared" ref="BM144:BM164" si="257">IF(C144="","",IF(AND(I144="Private",BJ144&lt;0),(BJ144*-1)*State_Match_Rate,0))</f>
        <v>0</v>
      </c>
      <c r="BN144" s="600">
        <f t="shared" ref="BN144:BN164" si="258">IF(C144="","",AB144*$BN$3)</f>
        <v>0</v>
      </c>
      <c r="BO144" s="600">
        <f t="shared" ref="BO144:BO175" si="259">IF(C144="","",ROUND((BD144-BH144)+BN144,2))</f>
        <v>0</v>
      </c>
      <c r="BP144" s="600">
        <f t="shared" ref="BP144:BP164" si="260">IF(C144="","",BL144*State_Match_Rate)</f>
        <v>282181.73202599998</v>
      </c>
      <c r="BQ144" s="600">
        <f t="shared" ref="BQ144:BQ164" si="261">IF(C144="","",AB144*$BR$3)</f>
        <v>0</v>
      </c>
      <c r="BR144" s="600">
        <f t="shared" ref="BR144:BR175" si="262">IF(C144="","",ROUND(IF(H144="Class 1 (TH)",BP144+BQ144,IF(AND(I144="Public",H144&lt;&gt;"Class 1 (TH)"),BP144,IF(I144="State",BP144,0))),2))</f>
        <v>0</v>
      </c>
      <c r="BT144" s="606">
        <f t="shared" ref="BT144:BT166" si="263">IF(AND(J144="Rural",I144="Public"),(AJ144+BL144+BG144)/AI144,1)</f>
        <v>1</v>
      </c>
      <c r="BU144" s="607">
        <f t="shared" ref="BU144:BU175" si="264">IF(AND(I144="Public",J144="Rural"),IF(BT144&gt;$BU$3,0,AI144*$BU$3-(AJ144+BL144+BG144)),0)</f>
        <v>0</v>
      </c>
      <c r="BV144" s="606">
        <f t="shared" ref="BV144:BV166" si="265">IFERROR(IF(AND(J144="Rural",I144="Private"),(AJ144+BL144+BG144)/AI144,1),"")</f>
        <v>1</v>
      </c>
      <c r="BW144" s="607">
        <f t="shared" ref="BW144:BW175" si="266">IF(AND(I144="Private",J144="Rural"),IF(BV144&gt;=$BW$3,0,AI144*$BW$3-(AJ144+BL144+BG144)),0)</f>
        <v>0</v>
      </c>
      <c r="BX144" s="607">
        <f t="shared" ref="BX144:BX166" si="267">IF(C144="","",IF(AND(J144="Rural",I144="Public"),BE144*State_Match_Rate,0))</f>
        <v>0</v>
      </c>
      <c r="BY144" s="607">
        <f t="shared" ref="BY144:BY166" si="268">IF(C144="","",IF(AND(J144="Rural",I144="Public"),BE144,0))</f>
        <v>0</v>
      </c>
      <c r="BZ144" s="607">
        <f t="shared" ref="BZ144:BZ166" si="269">IF(C144="","",BX144/State_Match_Rate)</f>
        <v>0</v>
      </c>
      <c r="CA144" s="607">
        <f t="shared" ref="CA144:CA175" si="270">IFERROR(IF(C144="","",IF(BZ137&lt;Pass_3_Set_Aside,BZ144,ROUND((BZ144/$BZ$9)*(Pass_3_Set_Aside),2))),0)</f>
        <v>0</v>
      </c>
      <c r="CB144" s="607">
        <f t="shared" si="183"/>
        <v>0</v>
      </c>
      <c r="CC144" s="607">
        <f t="shared" ref="CC144:CC166" si="271">IF(C144="","",IF(AND(J144="Rural",I144="Private"),BE144*State_Match_Rate,0))</f>
        <v>0</v>
      </c>
      <c r="CD144" s="607">
        <f t="shared" ref="CD144:CD166" si="272">IF(C144="","",IF(AND(J144="Rural",I144="Private"),BE144,0))</f>
        <v>0</v>
      </c>
      <c r="CE144" s="607">
        <f t="shared" ref="CE144:CE166" si="273">IF(C144="","",CC144/State_Match_Rate)</f>
        <v>0</v>
      </c>
      <c r="CF144" s="607">
        <f t="shared" ref="CF144:CF156" si="274">ROUND((CE144/$CE$9)*((Pass_3_Set_Aside)-$CA$9)*$CF$4*Federal_Match_Rate,2)</f>
        <v>0</v>
      </c>
      <c r="CG144" s="607">
        <f t="shared" ref="CG144:CG156" si="275">($CF$9/Federal_Match_Rate*State_Match_Rate)*AB144</f>
        <v>0</v>
      </c>
      <c r="CH144" s="607">
        <f t="shared" ref="CH144:CH175" si="276">IF(C144="","",CA144+BL144+BG144+CF144+CG144)</f>
        <v>803250.02</v>
      </c>
      <c r="CI144" s="609"/>
      <c r="CK144" s="610" t="str">
        <f t="shared" si="184"/>
        <v/>
      </c>
      <c r="CL144" s="611" t="str">
        <f>IF(CK144="","",COUNTIFS($CK$16:CK144,"Yes")+MAX(State!AD:AD))</f>
        <v/>
      </c>
      <c r="CM144" s="612" t="b">
        <f>IF(C144="", "", AND(INDEX('Summary Dynamic'!$D$8:$D$10, MATCH(H144, 'Summary Dynamic'!$C$8:$C$10, 0))="Include", INDEX('Summary Dynamic'!$D$12:$D$14, MATCH(I144, 'Summary Dynamic'!$C$12:$C$14, 0))="Include", INDEX('Summary Dynamic'!$D$16:$D$17, MATCH(J144, 'Summary Dynamic'!$C$16:$C$17, 0))="Include", INDEX('Summary Dynamic'!$D$19:$D$20, MATCH(K144, 'Summary Dynamic'!$C$19:$C$20, 0))="Include", INDEX('Summary Dynamic'!$D$25:$D$26, MATCH(L144, 'Summary Dynamic'!$C$25:$C$26, 0))="Include",'Summary Dynamic'!$D$23="Include"))</f>
        <v>1</v>
      </c>
      <c r="CN144" s="613">
        <f>IFERROR(IF(CM144=TRUE, COUNTIFS($CM$16:CM144, TRUE), ""), "")</f>
        <v>129</v>
      </c>
      <c r="CP144" s="614" t="str">
        <f t="shared" ref="CP144:CP166" si="277">IF(H144="Class 1 (TH)","Urban Public Class 1",IF(AND(OR(H144="Class 2", H144="All Others"),I144="Public",J144="Rural"),"Rural Public",IF(AND(OR(H144="Class 2",H144="All Others"),I144="Public",J144="no"),"Non-Rural Public",IF(AND(I144="Private",K144="Yes"),"Children's Hospital",IF(AND(I144="Private",J144="Rural"),"Rural Private",IF(AND(I144="Private",K144="No"),"Non-Rural Private",0))))))</f>
        <v>Non-Rural Private</v>
      </c>
      <c r="CY144" s="615"/>
      <c r="CZ144" s="616"/>
    </row>
    <row r="145" spans="2:104" x14ac:dyDescent="0.25">
      <c r="B145" s="617">
        <f t="shared" ref="B145:B166" si="278">IF(B144&lt;$C$8, B144+1, "")</f>
        <v>130</v>
      </c>
      <c r="C145" s="593" t="s">
        <v>903</v>
      </c>
      <c r="D145" s="594" t="s">
        <v>903</v>
      </c>
      <c r="E145" s="594" t="s">
        <v>904</v>
      </c>
      <c r="F145" s="407" t="s">
        <v>905</v>
      </c>
      <c r="G145" s="408" t="s">
        <v>661</v>
      </c>
      <c r="H145" s="408" t="s">
        <v>22</v>
      </c>
      <c r="I145" s="408" t="s">
        <v>26</v>
      </c>
      <c r="J145" s="408" t="s">
        <v>35</v>
      </c>
      <c r="K145" s="408" t="s">
        <v>35</v>
      </c>
      <c r="L145" s="408" t="s">
        <v>37</v>
      </c>
      <c r="M145" s="408" t="s">
        <v>35</v>
      </c>
      <c r="N145" s="595" t="str">
        <f t="shared" si="232"/>
        <v>No</v>
      </c>
      <c r="O145" s="596">
        <v>7159</v>
      </c>
      <c r="P145" s="596">
        <v>23443</v>
      </c>
      <c r="Q145" s="597">
        <v>0.36592486939610863</v>
      </c>
      <c r="R145" s="596">
        <f t="shared" ref="R145:R164" si="279">IFERROR(P145*Q145,"")</f>
        <v>8578.3767132529738</v>
      </c>
      <c r="S145" s="596">
        <f t="shared" ref="S145:S164" si="280">IFERROR(O145+R145,"")</f>
        <v>15737.376713252974</v>
      </c>
      <c r="T145" s="596">
        <f t="shared" si="233"/>
        <v>15737.376713252974</v>
      </c>
      <c r="U145" s="598">
        <f t="shared" ref="U145:U164" si="281">IFERROR(T145/$T$9,"")</f>
        <v>3.681795765457848E-3</v>
      </c>
      <c r="V145" s="599">
        <f t="shared" si="185"/>
        <v>0</v>
      </c>
      <c r="W145" s="600">
        <v>1841428.7281177451</v>
      </c>
      <c r="X145" s="600">
        <v>0</v>
      </c>
      <c r="Y145" s="600">
        <v>216241.27335095999</v>
      </c>
      <c r="Z145" s="600">
        <f t="shared" ref="Z145:Z166" si="282">IFERROR(IF(X145-Y145&gt;0,X145-Y145,0),"")</f>
        <v>0</v>
      </c>
      <c r="AA145" s="600">
        <f t="shared" ref="AA145:AA166" si="283">IFERROR(W145-Z145,"")</f>
        <v>1841428.7281177451</v>
      </c>
      <c r="AB145" s="601">
        <f t="shared" si="234"/>
        <v>0</v>
      </c>
      <c r="AC145" s="599">
        <v>113978.89998919984</v>
      </c>
      <c r="AD145" s="599">
        <f>MAX(IF(M145="Yes",'Assumption Inputs'!$C$40,'Assumption Inputs'!$C$41),AC145)</f>
        <v>6000000</v>
      </c>
      <c r="AE145" s="599">
        <f t="shared" si="186"/>
        <v>1194534.8159299814</v>
      </c>
      <c r="AF145" s="599">
        <f t="shared" si="235"/>
        <v>0</v>
      </c>
      <c r="AG145" s="599">
        <f t="shared" si="187"/>
        <v>0</v>
      </c>
      <c r="AH145" s="599">
        <f t="shared" si="188"/>
        <v>1194534.8159299814</v>
      </c>
      <c r="AI145" s="599">
        <v>7573266.647132135</v>
      </c>
      <c r="AJ145" s="599">
        <v>6926372.7349443715</v>
      </c>
      <c r="AK145" s="602">
        <f t="shared" ref="AK145:AK164" si="284">IFERROR(AJ145/AI145,"")</f>
        <v>0.91458191790556709</v>
      </c>
      <c r="AL145" s="603">
        <f t="shared" si="236"/>
        <v>0</v>
      </c>
      <c r="AM145" s="600">
        <f t="shared" ref="AM145:AM164" si="285">IFERROR(AL145+$V145+AE145,"")</f>
        <v>1194534.8159299814</v>
      </c>
      <c r="AN145" s="600">
        <f t="shared" si="237"/>
        <v>1194534.8159299814</v>
      </c>
      <c r="AO145" s="600">
        <f t="shared" si="238"/>
        <v>0</v>
      </c>
      <c r="AP145" s="600">
        <f t="shared" si="239"/>
        <v>646893.91218776372</v>
      </c>
      <c r="AQ145" s="600">
        <f t="shared" ref="AQ145:AQ164" si="286">IFERROR(AP145/$AP$9*$AO$9,"")</f>
        <v>0</v>
      </c>
      <c r="AR145" s="600">
        <f t="shared" ref="AR145:AR164" si="287">IFERROR(AN145+AQ145,"")</f>
        <v>1194534.8159299814</v>
      </c>
      <c r="AS145" s="604">
        <f t="shared" si="240"/>
        <v>0</v>
      </c>
      <c r="AT145" s="605">
        <f t="shared" si="241"/>
        <v>0</v>
      </c>
      <c r="AU145" s="600">
        <f t="shared" si="242"/>
        <v>1194534.8159299814</v>
      </c>
      <c r="AV145" s="600">
        <f t="shared" si="243"/>
        <v>1194534.8159299814</v>
      </c>
      <c r="AW145" s="600">
        <f t="shared" si="244"/>
        <v>0</v>
      </c>
      <c r="AX145" s="600">
        <f t="shared" si="245"/>
        <v>646893.91218776372</v>
      </c>
      <c r="AY145" s="600">
        <f t="shared" si="246"/>
        <v>1.2727955947242876E-12</v>
      </c>
      <c r="AZ145" s="600">
        <f t="shared" si="247"/>
        <v>1194534.8159299814</v>
      </c>
      <c r="BA145" s="600">
        <f t="shared" si="248"/>
        <v>0</v>
      </c>
      <c r="BB145" s="600">
        <f t="shared" si="249"/>
        <v>0</v>
      </c>
      <c r="BC145" s="600">
        <f t="shared" si="250"/>
        <v>0</v>
      </c>
      <c r="BD145" s="600">
        <f t="shared" si="251"/>
        <v>0</v>
      </c>
      <c r="BE145" s="600">
        <f t="shared" si="252"/>
        <v>646893.91218776372</v>
      </c>
      <c r="BF145" s="600">
        <f t="shared" si="253"/>
        <v>1194534.8159299814</v>
      </c>
      <c r="BG145" s="600">
        <v>0</v>
      </c>
      <c r="BH145" s="600">
        <v>0</v>
      </c>
      <c r="BI145" s="600">
        <f t="shared" si="254"/>
        <v>0</v>
      </c>
      <c r="BJ145" s="600">
        <f t="shared" si="255"/>
        <v>1194534.82</v>
      </c>
      <c r="BK145" s="600">
        <f t="shared" si="256"/>
        <v>419640.08226599998</v>
      </c>
      <c r="BL145" s="600">
        <v>1194534.82</v>
      </c>
      <c r="BM145" s="600">
        <f t="shared" si="257"/>
        <v>0</v>
      </c>
      <c r="BN145" s="600">
        <f t="shared" si="258"/>
        <v>0</v>
      </c>
      <c r="BO145" s="600">
        <f t="shared" si="259"/>
        <v>0</v>
      </c>
      <c r="BP145" s="600">
        <f t="shared" si="260"/>
        <v>419640.08226599998</v>
      </c>
      <c r="BQ145" s="600">
        <f t="shared" si="261"/>
        <v>0</v>
      </c>
      <c r="BR145" s="600">
        <f t="shared" si="262"/>
        <v>0</v>
      </c>
      <c r="BT145" s="606">
        <f t="shared" si="263"/>
        <v>1</v>
      </c>
      <c r="BU145" s="607">
        <f t="shared" si="264"/>
        <v>0</v>
      </c>
      <c r="BV145" s="606">
        <f t="shared" si="265"/>
        <v>1</v>
      </c>
      <c r="BW145" s="607">
        <f t="shared" si="266"/>
        <v>0</v>
      </c>
      <c r="BX145" s="607">
        <f t="shared" si="267"/>
        <v>0</v>
      </c>
      <c r="BY145" s="607">
        <f t="shared" si="268"/>
        <v>0</v>
      </c>
      <c r="BZ145" s="607">
        <f t="shared" si="269"/>
        <v>0</v>
      </c>
      <c r="CA145" s="607">
        <f t="shared" si="270"/>
        <v>0</v>
      </c>
      <c r="CB145" s="607">
        <f t="shared" ref="CB145:CB166" si="288">BX145</f>
        <v>0</v>
      </c>
      <c r="CC145" s="607">
        <f t="shared" si="271"/>
        <v>0</v>
      </c>
      <c r="CD145" s="607">
        <f t="shared" si="272"/>
        <v>0</v>
      </c>
      <c r="CE145" s="607">
        <f t="shared" si="273"/>
        <v>0</v>
      </c>
      <c r="CF145" s="607">
        <f t="shared" si="274"/>
        <v>0</v>
      </c>
      <c r="CG145" s="607">
        <f t="shared" si="275"/>
        <v>0</v>
      </c>
      <c r="CH145" s="607">
        <f t="shared" si="276"/>
        <v>1194534.82</v>
      </c>
      <c r="CI145" s="609"/>
      <c r="CK145" s="610" t="str">
        <f t="shared" ref="CK145:CK166" si="289">IF(BJ145&lt;0, "Yes", "")</f>
        <v/>
      </c>
      <c r="CL145" s="611" t="str">
        <f>IF(CK145="","",COUNTIFS($CK$16:CK145,"Yes")+MAX(State!AD:AD))</f>
        <v/>
      </c>
      <c r="CM145" s="612" t="b">
        <f>IF(C145="", "", AND(INDEX('Summary Dynamic'!$D$8:$D$10, MATCH(H145, 'Summary Dynamic'!$C$8:$C$10, 0))="Include", INDEX('Summary Dynamic'!$D$12:$D$14, MATCH(I145, 'Summary Dynamic'!$C$12:$C$14, 0))="Include", INDEX('Summary Dynamic'!$D$16:$D$17, MATCH(J145, 'Summary Dynamic'!$C$16:$C$17, 0))="Include", INDEX('Summary Dynamic'!$D$19:$D$20, MATCH(K145, 'Summary Dynamic'!$C$19:$C$20, 0))="Include", INDEX('Summary Dynamic'!$D$25:$D$26, MATCH(L145, 'Summary Dynamic'!$C$25:$C$26, 0))="Include",'Summary Dynamic'!$D$23="Include"))</f>
        <v>1</v>
      </c>
      <c r="CN145" s="613">
        <f>IFERROR(IF(CM145=TRUE, COUNTIFS($CM$16:CM145, TRUE), ""), "")</f>
        <v>130</v>
      </c>
      <c r="CP145" s="614" t="str">
        <f t="shared" si="277"/>
        <v>Non-Rural Private</v>
      </c>
      <c r="CY145" s="615"/>
      <c r="CZ145" s="616"/>
    </row>
    <row r="146" spans="2:104" x14ac:dyDescent="0.25">
      <c r="B146" s="617">
        <f t="shared" si="278"/>
        <v>131</v>
      </c>
      <c r="C146" s="593" t="s">
        <v>906</v>
      </c>
      <c r="D146" s="594" t="s">
        <v>906</v>
      </c>
      <c r="E146" s="594" t="s">
        <v>907</v>
      </c>
      <c r="F146" s="407" t="s">
        <v>908</v>
      </c>
      <c r="G146" s="408" t="s">
        <v>909</v>
      </c>
      <c r="H146" s="408" t="s">
        <v>22</v>
      </c>
      <c r="I146" s="408" t="s">
        <v>26</v>
      </c>
      <c r="J146" s="408" t="s">
        <v>35</v>
      </c>
      <c r="K146" s="408" t="s">
        <v>35</v>
      </c>
      <c r="L146" s="408" t="s">
        <v>37</v>
      </c>
      <c r="M146" s="408" t="s">
        <v>35</v>
      </c>
      <c r="N146" s="595" t="str">
        <f t="shared" si="232"/>
        <v>No</v>
      </c>
      <c r="O146" s="596">
        <v>7463</v>
      </c>
      <c r="P146" s="596">
        <v>25209</v>
      </c>
      <c r="Q146" s="597">
        <v>0.31098219578772784</v>
      </c>
      <c r="R146" s="596">
        <f t="shared" si="279"/>
        <v>7839.5501736128308</v>
      </c>
      <c r="S146" s="596">
        <f t="shared" si="280"/>
        <v>15302.550173612832</v>
      </c>
      <c r="T146" s="596">
        <f t="shared" si="233"/>
        <v>15302.550173612832</v>
      </c>
      <c r="U146" s="598">
        <f t="shared" si="281"/>
        <v>3.5800670884663672E-3</v>
      </c>
      <c r="V146" s="599">
        <f t="shared" ref="V146:V164" si="290">IFERROR(U146*Total_State_GR_Commitment,"")</f>
        <v>0</v>
      </c>
      <c r="W146" s="600">
        <v>551930.94581844937</v>
      </c>
      <c r="X146" s="600">
        <v>0</v>
      </c>
      <c r="Y146" s="600">
        <v>25847.427334763954</v>
      </c>
      <c r="Z146" s="600">
        <f t="shared" si="282"/>
        <v>0</v>
      </c>
      <c r="AA146" s="600">
        <f t="shared" si="283"/>
        <v>551930.94581844937</v>
      </c>
      <c r="AB146" s="601">
        <f t="shared" si="234"/>
        <v>0</v>
      </c>
      <c r="AC146" s="599">
        <v>0</v>
      </c>
      <c r="AD146" s="599">
        <f>MAX(IF(M146="Yes",'Assumption Inputs'!$C$40,'Assumption Inputs'!$C$41),AC146)</f>
        <v>6000000</v>
      </c>
      <c r="AE146" s="599">
        <f t="shared" ref="AE146:AE164" si="291">IF(AD146&gt;AA146/(1+State_Match_Rate/Federal_Match_Rate),AA146/(1+State_Match_Rate/Federal_Match_Rate),AD146)</f>
        <v>358037.60455242818</v>
      </c>
      <c r="AF146" s="599">
        <f t="shared" si="235"/>
        <v>0</v>
      </c>
      <c r="AG146" s="599">
        <f t="shared" ref="AG146:AG164" si="292">($AE$7*State_Match_Rate/Federal_Match_Rate)*AB146</f>
        <v>0</v>
      </c>
      <c r="AH146" s="599">
        <f t="shared" ref="AH146:AH164" si="293">SUM(AE146:AF146)</f>
        <v>358037.60455242818</v>
      </c>
      <c r="AI146" s="599">
        <v>6176375.5764898397</v>
      </c>
      <c r="AJ146" s="599">
        <v>5982482.2352238176</v>
      </c>
      <c r="AK146" s="602">
        <f t="shared" si="284"/>
        <v>0.96860726183749735</v>
      </c>
      <c r="AL146" s="603">
        <f t="shared" si="236"/>
        <v>0</v>
      </c>
      <c r="AM146" s="600">
        <f t="shared" si="285"/>
        <v>358037.60455242818</v>
      </c>
      <c r="AN146" s="600">
        <f t="shared" si="237"/>
        <v>358037.60455242818</v>
      </c>
      <c r="AO146" s="600">
        <f t="shared" si="238"/>
        <v>0</v>
      </c>
      <c r="AP146" s="600">
        <f t="shared" si="239"/>
        <v>193893.34126602119</v>
      </c>
      <c r="AQ146" s="600">
        <f t="shared" si="286"/>
        <v>0</v>
      </c>
      <c r="AR146" s="600">
        <f t="shared" si="287"/>
        <v>358037.60455242818</v>
      </c>
      <c r="AS146" s="604">
        <f t="shared" si="240"/>
        <v>0</v>
      </c>
      <c r="AT146" s="605">
        <f t="shared" si="241"/>
        <v>0</v>
      </c>
      <c r="AU146" s="600">
        <f t="shared" si="242"/>
        <v>358037.60455242818</v>
      </c>
      <c r="AV146" s="600">
        <f t="shared" si="243"/>
        <v>358037.60455242818</v>
      </c>
      <c r="AW146" s="600">
        <f t="shared" si="244"/>
        <v>0</v>
      </c>
      <c r="AX146" s="600">
        <f t="shared" si="245"/>
        <v>193893.34126602119</v>
      </c>
      <c r="AY146" s="600">
        <f t="shared" si="246"/>
        <v>3.8149468708886812E-13</v>
      </c>
      <c r="AZ146" s="600">
        <f t="shared" si="247"/>
        <v>358037.60455242818</v>
      </c>
      <c r="BA146" s="600">
        <f t="shared" si="248"/>
        <v>0</v>
      </c>
      <c r="BB146" s="600">
        <f t="shared" si="249"/>
        <v>0</v>
      </c>
      <c r="BC146" s="600">
        <f t="shared" si="250"/>
        <v>0</v>
      </c>
      <c r="BD146" s="600">
        <f t="shared" si="251"/>
        <v>0</v>
      </c>
      <c r="BE146" s="600">
        <f t="shared" si="252"/>
        <v>193893.34126602119</v>
      </c>
      <c r="BF146" s="600">
        <f t="shared" si="253"/>
        <v>358037.60455242818</v>
      </c>
      <c r="BG146" s="600">
        <v>0</v>
      </c>
      <c r="BH146" s="600">
        <v>0</v>
      </c>
      <c r="BI146" s="600">
        <f t="shared" si="254"/>
        <v>0</v>
      </c>
      <c r="BJ146" s="600">
        <f t="shared" si="255"/>
        <v>358037.6</v>
      </c>
      <c r="BK146" s="600">
        <f t="shared" si="256"/>
        <v>125778.60887999997</v>
      </c>
      <c r="BL146" s="600">
        <v>358037.6</v>
      </c>
      <c r="BM146" s="600">
        <f t="shared" si="257"/>
        <v>0</v>
      </c>
      <c r="BN146" s="600">
        <f t="shared" si="258"/>
        <v>0</v>
      </c>
      <c r="BO146" s="600">
        <f t="shared" si="259"/>
        <v>0</v>
      </c>
      <c r="BP146" s="600">
        <f t="shared" si="260"/>
        <v>125778.60887999997</v>
      </c>
      <c r="BQ146" s="600">
        <f t="shared" si="261"/>
        <v>0</v>
      </c>
      <c r="BR146" s="600">
        <f t="shared" si="262"/>
        <v>0</v>
      </c>
      <c r="BT146" s="606">
        <f t="shared" si="263"/>
        <v>1</v>
      </c>
      <c r="BU146" s="607">
        <f t="shared" si="264"/>
        <v>0</v>
      </c>
      <c r="BV146" s="606">
        <f t="shared" si="265"/>
        <v>1</v>
      </c>
      <c r="BW146" s="607">
        <f t="shared" si="266"/>
        <v>0</v>
      </c>
      <c r="BX146" s="607">
        <f t="shared" si="267"/>
        <v>0</v>
      </c>
      <c r="BY146" s="607">
        <f t="shared" si="268"/>
        <v>0</v>
      </c>
      <c r="BZ146" s="607">
        <f t="shared" si="269"/>
        <v>0</v>
      </c>
      <c r="CA146" s="607">
        <f t="shared" si="270"/>
        <v>0</v>
      </c>
      <c r="CB146" s="607">
        <f t="shared" si="288"/>
        <v>0</v>
      </c>
      <c r="CC146" s="607">
        <f t="shared" si="271"/>
        <v>0</v>
      </c>
      <c r="CD146" s="607">
        <f t="shared" si="272"/>
        <v>0</v>
      </c>
      <c r="CE146" s="607">
        <f t="shared" si="273"/>
        <v>0</v>
      </c>
      <c r="CF146" s="607">
        <f t="shared" si="274"/>
        <v>0</v>
      </c>
      <c r="CG146" s="607">
        <f t="shared" si="275"/>
        <v>0</v>
      </c>
      <c r="CH146" s="607">
        <f t="shared" si="276"/>
        <v>358037.6</v>
      </c>
      <c r="CI146" s="609"/>
      <c r="CK146" s="610" t="str">
        <f t="shared" si="289"/>
        <v/>
      </c>
      <c r="CL146" s="611" t="str">
        <f>IF(CK146="","",COUNTIFS($CK$16:CK146,"Yes")+MAX(State!AD:AD))</f>
        <v/>
      </c>
      <c r="CM146" s="612" t="b">
        <f>IF(C146="", "", AND(INDEX('Summary Dynamic'!$D$8:$D$10, MATCH(H146, 'Summary Dynamic'!$C$8:$C$10, 0))="Include", INDEX('Summary Dynamic'!$D$12:$D$14, MATCH(I146, 'Summary Dynamic'!$C$12:$C$14, 0))="Include", INDEX('Summary Dynamic'!$D$16:$D$17, MATCH(J146, 'Summary Dynamic'!$C$16:$C$17, 0))="Include", INDEX('Summary Dynamic'!$D$19:$D$20, MATCH(K146, 'Summary Dynamic'!$C$19:$C$20, 0))="Include", INDEX('Summary Dynamic'!$D$25:$D$26, MATCH(L146, 'Summary Dynamic'!$C$25:$C$26, 0))="Include",'Summary Dynamic'!$D$23="Include"))</f>
        <v>1</v>
      </c>
      <c r="CN146" s="613">
        <f>IFERROR(IF(CM146=TRUE, COUNTIFS($CM$16:CM146, TRUE), ""), "")</f>
        <v>131</v>
      </c>
      <c r="CP146" s="614" t="str">
        <f t="shared" si="277"/>
        <v>Non-Rural Private</v>
      </c>
      <c r="CY146" s="615"/>
      <c r="CZ146" s="616"/>
    </row>
    <row r="147" spans="2:104" x14ac:dyDescent="0.25">
      <c r="B147" s="617">
        <f t="shared" si="278"/>
        <v>132</v>
      </c>
      <c r="C147" s="593" t="s">
        <v>910</v>
      </c>
      <c r="D147" s="594" t="s">
        <v>910</v>
      </c>
      <c r="E147" s="594" t="s">
        <v>911</v>
      </c>
      <c r="F147" s="407" t="s">
        <v>912</v>
      </c>
      <c r="G147" s="408" t="s">
        <v>282</v>
      </c>
      <c r="H147" s="408" t="s">
        <v>22</v>
      </c>
      <c r="I147" s="408" t="s">
        <v>26</v>
      </c>
      <c r="J147" s="408" t="s">
        <v>35</v>
      </c>
      <c r="K147" s="408" t="s">
        <v>35</v>
      </c>
      <c r="L147" s="408" t="s">
        <v>37</v>
      </c>
      <c r="M147" s="408" t="s">
        <v>35</v>
      </c>
      <c r="N147" s="595" t="str">
        <f t="shared" si="232"/>
        <v>No</v>
      </c>
      <c r="O147" s="596">
        <v>19942</v>
      </c>
      <c r="P147" s="596">
        <v>45154</v>
      </c>
      <c r="Q147" s="597">
        <v>0.28119690184810081</v>
      </c>
      <c r="R147" s="596">
        <f t="shared" si="279"/>
        <v>12697.164906049144</v>
      </c>
      <c r="S147" s="596">
        <f t="shared" si="280"/>
        <v>32639.164906049144</v>
      </c>
      <c r="T147" s="596">
        <f t="shared" si="233"/>
        <v>32639.164906049144</v>
      </c>
      <c r="U147" s="598">
        <f t="shared" si="281"/>
        <v>7.6360082959679243E-3</v>
      </c>
      <c r="V147" s="599">
        <f t="shared" si="290"/>
        <v>0</v>
      </c>
      <c r="W147" s="600">
        <v>1839005.5296822882</v>
      </c>
      <c r="X147" s="600">
        <v>0</v>
      </c>
      <c r="Y147" s="600">
        <v>24056.520829620233</v>
      </c>
      <c r="Z147" s="600">
        <f t="shared" si="282"/>
        <v>0</v>
      </c>
      <c r="AA147" s="600">
        <f t="shared" si="283"/>
        <v>1839005.5296822882</v>
      </c>
      <c r="AB147" s="601">
        <f t="shared" si="234"/>
        <v>0</v>
      </c>
      <c r="AC147" s="599">
        <v>1228911.1198083933</v>
      </c>
      <c r="AD147" s="599">
        <f>MAX(IF(M147="Yes",'Assumption Inputs'!$C$40,'Assumption Inputs'!$C$41),AC147)</f>
        <v>6000000</v>
      </c>
      <c r="AE147" s="599">
        <f t="shared" si="291"/>
        <v>1192962.8871049006</v>
      </c>
      <c r="AF147" s="599">
        <f t="shared" si="235"/>
        <v>0</v>
      </c>
      <c r="AG147" s="599">
        <f t="shared" si="292"/>
        <v>0</v>
      </c>
      <c r="AH147" s="599">
        <f t="shared" si="293"/>
        <v>1192962.8871049006</v>
      </c>
      <c r="AI147" s="599">
        <v>12748562.977473615</v>
      </c>
      <c r="AJ147" s="599">
        <v>12102520.334896225</v>
      </c>
      <c r="AK147" s="602">
        <f t="shared" si="284"/>
        <v>0.94932427727588353</v>
      </c>
      <c r="AL147" s="603">
        <f t="shared" si="236"/>
        <v>0</v>
      </c>
      <c r="AM147" s="600">
        <f t="shared" si="285"/>
        <v>1192962.8871049006</v>
      </c>
      <c r="AN147" s="600">
        <f t="shared" si="237"/>
        <v>1192962.8871049006</v>
      </c>
      <c r="AO147" s="600">
        <f t="shared" si="238"/>
        <v>0</v>
      </c>
      <c r="AP147" s="600">
        <f t="shared" si="239"/>
        <v>646042.64257738763</v>
      </c>
      <c r="AQ147" s="600">
        <f t="shared" si="286"/>
        <v>0</v>
      </c>
      <c r="AR147" s="600">
        <f t="shared" si="287"/>
        <v>1192962.8871049006</v>
      </c>
      <c r="AS147" s="604">
        <f t="shared" si="240"/>
        <v>0</v>
      </c>
      <c r="AT147" s="605">
        <f t="shared" si="241"/>
        <v>0</v>
      </c>
      <c r="AU147" s="600">
        <f t="shared" si="242"/>
        <v>1192962.8871049006</v>
      </c>
      <c r="AV147" s="600">
        <f t="shared" si="243"/>
        <v>1192962.8871049006</v>
      </c>
      <c r="AW147" s="600">
        <f t="shared" si="244"/>
        <v>0</v>
      </c>
      <c r="AX147" s="600">
        <f t="shared" si="245"/>
        <v>646042.64257738763</v>
      </c>
      <c r="AY147" s="600">
        <f t="shared" si="246"/>
        <v>1.2711206798895736E-12</v>
      </c>
      <c r="AZ147" s="600">
        <f t="shared" si="247"/>
        <v>1192962.8871049006</v>
      </c>
      <c r="BA147" s="600">
        <f t="shared" si="248"/>
        <v>0</v>
      </c>
      <c r="BB147" s="600">
        <f t="shared" si="249"/>
        <v>0</v>
      </c>
      <c r="BC147" s="600">
        <f t="shared" si="250"/>
        <v>0</v>
      </c>
      <c r="BD147" s="600">
        <f t="shared" si="251"/>
        <v>0</v>
      </c>
      <c r="BE147" s="600">
        <f t="shared" si="252"/>
        <v>646042.64257738763</v>
      </c>
      <c r="BF147" s="600">
        <f t="shared" si="253"/>
        <v>1192962.8871049006</v>
      </c>
      <c r="BG147" s="600">
        <v>0</v>
      </c>
      <c r="BH147" s="600">
        <v>0</v>
      </c>
      <c r="BI147" s="600">
        <f t="shared" si="254"/>
        <v>0</v>
      </c>
      <c r="BJ147" s="600">
        <f t="shared" si="255"/>
        <v>1192962.8899999999</v>
      </c>
      <c r="BK147" s="600">
        <f t="shared" si="256"/>
        <v>419087.86325699987</v>
      </c>
      <c r="BL147" s="600">
        <v>1192962.8899999999</v>
      </c>
      <c r="BM147" s="600">
        <f t="shared" si="257"/>
        <v>0</v>
      </c>
      <c r="BN147" s="600">
        <f t="shared" si="258"/>
        <v>0</v>
      </c>
      <c r="BO147" s="600">
        <f t="shared" si="259"/>
        <v>0</v>
      </c>
      <c r="BP147" s="600">
        <f t="shared" si="260"/>
        <v>419087.86325699987</v>
      </c>
      <c r="BQ147" s="600">
        <f t="shared" si="261"/>
        <v>0</v>
      </c>
      <c r="BR147" s="600">
        <f t="shared" si="262"/>
        <v>0</v>
      </c>
      <c r="BT147" s="606">
        <f t="shared" si="263"/>
        <v>1</v>
      </c>
      <c r="BU147" s="607">
        <f t="shared" si="264"/>
        <v>0</v>
      </c>
      <c r="BV147" s="606">
        <f t="shared" si="265"/>
        <v>1</v>
      </c>
      <c r="BW147" s="607">
        <f t="shared" si="266"/>
        <v>0</v>
      </c>
      <c r="BX147" s="607">
        <f t="shared" si="267"/>
        <v>0</v>
      </c>
      <c r="BY147" s="607">
        <f t="shared" si="268"/>
        <v>0</v>
      </c>
      <c r="BZ147" s="607">
        <f t="shared" si="269"/>
        <v>0</v>
      </c>
      <c r="CA147" s="607">
        <f t="shared" si="270"/>
        <v>0</v>
      </c>
      <c r="CB147" s="607">
        <f t="shared" si="288"/>
        <v>0</v>
      </c>
      <c r="CC147" s="607">
        <f t="shared" si="271"/>
        <v>0</v>
      </c>
      <c r="CD147" s="607">
        <f t="shared" si="272"/>
        <v>0</v>
      </c>
      <c r="CE147" s="607">
        <f t="shared" si="273"/>
        <v>0</v>
      </c>
      <c r="CF147" s="607">
        <f t="shared" si="274"/>
        <v>0</v>
      </c>
      <c r="CG147" s="607">
        <f t="shared" si="275"/>
        <v>0</v>
      </c>
      <c r="CH147" s="607">
        <f t="shared" si="276"/>
        <v>1192962.8899999999</v>
      </c>
      <c r="CI147" s="609"/>
      <c r="CK147" s="610" t="str">
        <f t="shared" si="289"/>
        <v/>
      </c>
      <c r="CL147" s="611" t="str">
        <f>IF(CK147="","",COUNTIFS($CK$16:CK147,"Yes")+MAX(State!AD:AD))</f>
        <v/>
      </c>
      <c r="CM147" s="612" t="b">
        <f>IF(C147="", "", AND(INDEX('Summary Dynamic'!$D$8:$D$10, MATCH(H147, 'Summary Dynamic'!$C$8:$C$10, 0))="Include", INDEX('Summary Dynamic'!$D$12:$D$14, MATCH(I147, 'Summary Dynamic'!$C$12:$C$14, 0))="Include", INDEX('Summary Dynamic'!$D$16:$D$17, MATCH(J147, 'Summary Dynamic'!$C$16:$C$17, 0))="Include", INDEX('Summary Dynamic'!$D$19:$D$20, MATCH(K147, 'Summary Dynamic'!$C$19:$C$20, 0))="Include", INDEX('Summary Dynamic'!$D$25:$D$26, MATCH(L147, 'Summary Dynamic'!$C$25:$C$26, 0))="Include",'Summary Dynamic'!$D$23="Include"))</f>
        <v>1</v>
      </c>
      <c r="CN147" s="613">
        <f>IFERROR(IF(CM147=TRUE, COUNTIFS($CM$16:CM147, TRUE), ""), "")</f>
        <v>132</v>
      </c>
      <c r="CP147" s="614" t="str">
        <f t="shared" si="277"/>
        <v>Non-Rural Private</v>
      </c>
      <c r="CY147" s="615"/>
      <c r="CZ147" s="616"/>
    </row>
    <row r="148" spans="2:104" x14ac:dyDescent="0.25">
      <c r="B148" s="617">
        <f t="shared" si="278"/>
        <v>133</v>
      </c>
      <c r="C148" s="593" t="s">
        <v>913</v>
      </c>
      <c r="D148" s="594" t="s">
        <v>913</v>
      </c>
      <c r="E148" s="594" t="s">
        <v>914</v>
      </c>
      <c r="F148" s="407" t="s">
        <v>915</v>
      </c>
      <c r="G148" s="408" t="s">
        <v>314</v>
      </c>
      <c r="H148" s="408" t="s">
        <v>22</v>
      </c>
      <c r="I148" s="408" t="s">
        <v>26</v>
      </c>
      <c r="J148" s="408" t="s">
        <v>35</v>
      </c>
      <c r="K148" s="408" t="s">
        <v>35</v>
      </c>
      <c r="L148" s="408" t="s">
        <v>37</v>
      </c>
      <c r="M148" s="408" t="s">
        <v>35</v>
      </c>
      <c r="N148" s="595" t="str">
        <f t="shared" si="232"/>
        <v>No</v>
      </c>
      <c r="O148" s="596">
        <v>22799</v>
      </c>
      <c r="P148" s="596">
        <v>52246</v>
      </c>
      <c r="Q148" s="597">
        <v>0.4377606308520961</v>
      </c>
      <c r="R148" s="596">
        <f t="shared" si="279"/>
        <v>22871.241919498614</v>
      </c>
      <c r="S148" s="596">
        <f t="shared" si="280"/>
        <v>45670.241919498614</v>
      </c>
      <c r="T148" s="596">
        <f t="shared" si="233"/>
        <v>45670.241919498614</v>
      </c>
      <c r="U148" s="598">
        <f t="shared" si="281"/>
        <v>1.0684658972739847E-2</v>
      </c>
      <c r="V148" s="599">
        <f t="shared" si="290"/>
        <v>0</v>
      </c>
      <c r="W148" s="600">
        <v>1267373.4602221558</v>
      </c>
      <c r="X148" s="600">
        <v>0</v>
      </c>
      <c r="Y148" s="600">
        <v>187673.58138038748</v>
      </c>
      <c r="Z148" s="600">
        <f t="shared" si="282"/>
        <v>0</v>
      </c>
      <c r="AA148" s="600">
        <f t="shared" si="283"/>
        <v>1267373.4602221558</v>
      </c>
      <c r="AB148" s="601">
        <f t="shared" si="234"/>
        <v>0</v>
      </c>
      <c r="AC148" s="599">
        <v>0</v>
      </c>
      <c r="AD148" s="599">
        <f>MAX(IF(M148="Yes",'Assumption Inputs'!$C$40,'Assumption Inputs'!$C$41),AC148)</f>
        <v>6000000</v>
      </c>
      <c r="AE148" s="599">
        <f t="shared" si="291"/>
        <v>822145.16364611255</v>
      </c>
      <c r="AF148" s="599">
        <f t="shared" si="235"/>
        <v>0</v>
      </c>
      <c r="AG148" s="599">
        <f t="shared" si="292"/>
        <v>0</v>
      </c>
      <c r="AH148" s="599">
        <f t="shared" si="293"/>
        <v>822145.16364611255</v>
      </c>
      <c r="AI148" s="599">
        <v>17531118.058603778</v>
      </c>
      <c r="AJ148" s="599">
        <v>17085889.762027737</v>
      </c>
      <c r="AK148" s="602">
        <f t="shared" si="284"/>
        <v>0.97460354239314839</v>
      </c>
      <c r="AL148" s="603">
        <f t="shared" si="236"/>
        <v>0</v>
      </c>
      <c r="AM148" s="600">
        <f t="shared" si="285"/>
        <v>822145.16364611255</v>
      </c>
      <c r="AN148" s="600">
        <f t="shared" si="237"/>
        <v>822145.16364611255</v>
      </c>
      <c r="AO148" s="600">
        <f t="shared" si="238"/>
        <v>0</v>
      </c>
      <c r="AP148" s="600">
        <f t="shared" si="239"/>
        <v>445228.29657604324</v>
      </c>
      <c r="AQ148" s="600">
        <f t="shared" si="286"/>
        <v>0</v>
      </c>
      <c r="AR148" s="600">
        <f t="shared" si="287"/>
        <v>822145.16364611255</v>
      </c>
      <c r="AS148" s="604">
        <f t="shared" si="240"/>
        <v>0</v>
      </c>
      <c r="AT148" s="605">
        <f t="shared" si="241"/>
        <v>0</v>
      </c>
      <c r="AU148" s="600">
        <f t="shared" si="242"/>
        <v>822145.16364611255</v>
      </c>
      <c r="AV148" s="600">
        <f t="shared" si="243"/>
        <v>822145.16364611255</v>
      </c>
      <c r="AW148" s="600">
        <f t="shared" si="244"/>
        <v>0</v>
      </c>
      <c r="AX148" s="600">
        <f t="shared" si="245"/>
        <v>445228.29657604324</v>
      </c>
      <c r="AY148" s="600">
        <f t="shared" si="246"/>
        <v>8.7600857552065467E-13</v>
      </c>
      <c r="AZ148" s="600">
        <f t="shared" si="247"/>
        <v>822145.16364611255</v>
      </c>
      <c r="BA148" s="600">
        <f t="shared" si="248"/>
        <v>0</v>
      </c>
      <c r="BB148" s="600">
        <f t="shared" si="249"/>
        <v>0</v>
      </c>
      <c r="BC148" s="600">
        <f t="shared" si="250"/>
        <v>0</v>
      </c>
      <c r="BD148" s="600">
        <f t="shared" si="251"/>
        <v>0</v>
      </c>
      <c r="BE148" s="600">
        <f t="shared" si="252"/>
        <v>445228.29657604324</v>
      </c>
      <c r="BF148" s="600">
        <f t="shared" si="253"/>
        <v>822145.16364611255</v>
      </c>
      <c r="BG148" s="600">
        <v>0</v>
      </c>
      <c r="BH148" s="600">
        <v>0</v>
      </c>
      <c r="BI148" s="600">
        <f t="shared" si="254"/>
        <v>0</v>
      </c>
      <c r="BJ148" s="600">
        <f t="shared" si="255"/>
        <v>822145.16</v>
      </c>
      <c r="BK148" s="600">
        <f t="shared" si="256"/>
        <v>288819.59470799996</v>
      </c>
      <c r="BL148" s="600">
        <v>822145.16</v>
      </c>
      <c r="BM148" s="600">
        <f t="shared" si="257"/>
        <v>0</v>
      </c>
      <c r="BN148" s="600">
        <f t="shared" si="258"/>
        <v>0</v>
      </c>
      <c r="BO148" s="600">
        <f t="shared" si="259"/>
        <v>0</v>
      </c>
      <c r="BP148" s="600">
        <f t="shared" si="260"/>
        <v>288819.59470799996</v>
      </c>
      <c r="BQ148" s="600">
        <f t="shared" si="261"/>
        <v>0</v>
      </c>
      <c r="BR148" s="600">
        <f t="shared" si="262"/>
        <v>0</v>
      </c>
      <c r="BT148" s="606">
        <f t="shared" si="263"/>
        <v>1</v>
      </c>
      <c r="BU148" s="607">
        <f t="shared" si="264"/>
        <v>0</v>
      </c>
      <c r="BV148" s="606">
        <f t="shared" si="265"/>
        <v>1</v>
      </c>
      <c r="BW148" s="607">
        <f t="shared" si="266"/>
        <v>0</v>
      </c>
      <c r="BX148" s="607">
        <f t="shared" si="267"/>
        <v>0</v>
      </c>
      <c r="BY148" s="607">
        <f t="shared" si="268"/>
        <v>0</v>
      </c>
      <c r="BZ148" s="607">
        <f t="shared" si="269"/>
        <v>0</v>
      </c>
      <c r="CA148" s="607">
        <f t="shared" si="270"/>
        <v>0</v>
      </c>
      <c r="CB148" s="607">
        <f t="shared" si="288"/>
        <v>0</v>
      </c>
      <c r="CC148" s="607">
        <f t="shared" si="271"/>
        <v>0</v>
      </c>
      <c r="CD148" s="607">
        <f t="shared" si="272"/>
        <v>0</v>
      </c>
      <c r="CE148" s="607">
        <f t="shared" si="273"/>
        <v>0</v>
      </c>
      <c r="CF148" s="607">
        <f t="shared" si="274"/>
        <v>0</v>
      </c>
      <c r="CG148" s="607">
        <f t="shared" si="275"/>
        <v>0</v>
      </c>
      <c r="CH148" s="607">
        <f t="shared" si="276"/>
        <v>822145.16</v>
      </c>
      <c r="CI148" s="609"/>
      <c r="CK148" s="610" t="str">
        <f t="shared" si="289"/>
        <v/>
      </c>
      <c r="CL148" s="611" t="str">
        <f>IF(CK148="","",COUNTIFS($CK$16:CK148,"Yes")+MAX(State!AD:AD))</f>
        <v/>
      </c>
      <c r="CM148" s="612" t="b">
        <f>IF(C148="", "", AND(INDEX('Summary Dynamic'!$D$8:$D$10, MATCH(H148, 'Summary Dynamic'!$C$8:$C$10, 0))="Include", INDEX('Summary Dynamic'!$D$12:$D$14, MATCH(I148, 'Summary Dynamic'!$C$12:$C$14, 0))="Include", INDEX('Summary Dynamic'!$D$16:$D$17, MATCH(J148, 'Summary Dynamic'!$C$16:$C$17, 0))="Include", INDEX('Summary Dynamic'!$D$19:$D$20, MATCH(K148, 'Summary Dynamic'!$C$19:$C$20, 0))="Include", INDEX('Summary Dynamic'!$D$25:$D$26, MATCH(L148, 'Summary Dynamic'!$C$25:$C$26, 0))="Include",'Summary Dynamic'!$D$23="Include"))</f>
        <v>1</v>
      </c>
      <c r="CN148" s="613">
        <f>IFERROR(IF(CM148=TRUE, COUNTIFS($CM$16:CM148, TRUE), ""), "")</f>
        <v>133</v>
      </c>
      <c r="CP148" s="614" t="str">
        <f t="shared" si="277"/>
        <v>Non-Rural Private</v>
      </c>
      <c r="CY148" s="615"/>
      <c r="CZ148" s="616"/>
    </row>
    <row r="149" spans="2:104" x14ac:dyDescent="0.25">
      <c r="B149" s="617">
        <f t="shared" si="278"/>
        <v>134</v>
      </c>
      <c r="C149" s="593" t="s">
        <v>916</v>
      </c>
      <c r="D149" s="594" t="s">
        <v>916</v>
      </c>
      <c r="E149" s="594" t="s">
        <v>917</v>
      </c>
      <c r="F149" s="407" t="s">
        <v>918</v>
      </c>
      <c r="G149" s="408" t="s">
        <v>318</v>
      </c>
      <c r="H149" s="408" t="s">
        <v>22</v>
      </c>
      <c r="I149" s="408" t="s">
        <v>26</v>
      </c>
      <c r="J149" s="408" t="s">
        <v>35</v>
      </c>
      <c r="K149" s="408" t="s">
        <v>35</v>
      </c>
      <c r="L149" s="408" t="s">
        <v>35</v>
      </c>
      <c r="M149" s="408" t="s">
        <v>35</v>
      </c>
      <c r="N149" s="595" t="str">
        <f t="shared" si="232"/>
        <v>No</v>
      </c>
      <c r="O149" s="596">
        <v>7462</v>
      </c>
      <c r="P149" s="596">
        <v>31116</v>
      </c>
      <c r="Q149" s="597">
        <v>0.17915080436180247</v>
      </c>
      <c r="R149" s="596">
        <f t="shared" si="279"/>
        <v>5574.4564285218457</v>
      </c>
      <c r="S149" s="596">
        <f t="shared" si="280"/>
        <v>13036.456428521846</v>
      </c>
      <c r="T149" s="596">
        <f t="shared" si="233"/>
        <v>13036.456428521846</v>
      </c>
      <c r="U149" s="598">
        <f t="shared" si="281"/>
        <v>3.0499092033990077E-3</v>
      </c>
      <c r="V149" s="599">
        <f t="shared" si="290"/>
        <v>0</v>
      </c>
      <c r="W149" s="600">
        <v>14174275.299367096</v>
      </c>
      <c r="X149" s="600">
        <v>0</v>
      </c>
      <c r="Y149" s="600">
        <v>5046289.5308083855</v>
      </c>
      <c r="Z149" s="600">
        <f t="shared" si="282"/>
        <v>0</v>
      </c>
      <c r="AA149" s="600">
        <f t="shared" si="283"/>
        <v>14174275.299367096</v>
      </c>
      <c r="AB149" s="601">
        <f t="shared" si="234"/>
        <v>0</v>
      </c>
      <c r="AC149" s="599">
        <v>0</v>
      </c>
      <c r="AD149" s="599">
        <f>MAX(IF(M149="Yes",'Assumption Inputs'!$C$40,'Assumption Inputs'!$C$41),AC149)</f>
        <v>6000000</v>
      </c>
      <c r="AE149" s="599">
        <f t="shared" si="291"/>
        <v>6000000</v>
      </c>
      <c r="AF149" s="599">
        <f t="shared" si="235"/>
        <v>0</v>
      </c>
      <c r="AG149" s="599">
        <f t="shared" si="292"/>
        <v>0</v>
      </c>
      <c r="AH149" s="599">
        <f t="shared" si="293"/>
        <v>6000000</v>
      </c>
      <c r="AI149" s="599">
        <v>44650472.115889035</v>
      </c>
      <c r="AJ149" s="599">
        <v>36476196.816521943</v>
      </c>
      <c r="AK149" s="602">
        <f t="shared" si="284"/>
        <v>0.81692746096500413</v>
      </c>
      <c r="AL149" s="603">
        <f t="shared" si="236"/>
        <v>0</v>
      </c>
      <c r="AM149" s="600">
        <f t="shared" si="285"/>
        <v>6000000</v>
      </c>
      <c r="AN149" s="600">
        <f t="shared" si="237"/>
        <v>6000000</v>
      </c>
      <c r="AO149" s="600">
        <f t="shared" si="238"/>
        <v>0</v>
      </c>
      <c r="AP149" s="600">
        <f t="shared" si="239"/>
        <v>8174275.2993670963</v>
      </c>
      <c r="AQ149" s="600">
        <f t="shared" si="286"/>
        <v>0</v>
      </c>
      <c r="AR149" s="600">
        <f t="shared" si="287"/>
        <v>6000000</v>
      </c>
      <c r="AS149" s="604">
        <f t="shared" si="240"/>
        <v>0</v>
      </c>
      <c r="AT149" s="605">
        <f t="shared" si="241"/>
        <v>0</v>
      </c>
      <c r="AU149" s="600">
        <f t="shared" si="242"/>
        <v>6000000</v>
      </c>
      <c r="AV149" s="600">
        <f t="shared" si="243"/>
        <v>6000000</v>
      </c>
      <c r="AW149" s="600">
        <f t="shared" si="244"/>
        <v>0</v>
      </c>
      <c r="AX149" s="600">
        <f t="shared" si="245"/>
        <v>8174275.2993670963</v>
      </c>
      <c r="AY149" s="600">
        <f t="shared" si="246"/>
        <v>1.6083288766641133E-11</v>
      </c>
      <c r="AZ149" s="600">
        <f t="shared" si="247"/>
        <v>6000000</v>
      </c>
      <c r="BA149" s="600">
        <f t="shared" si="248"/>
        <v>0</v>
      </c>
      <c r="BB149" s="600">
        <f t="shared" si="249"/>
        <v>0</v>
      </c>
      <c r="BC149" s="600">
        <f t="shared" si="250"/>
        <v>0</v>
      </c>
      <c r="BD149" s="600">
        <f t="shared" si="251"/>
        <v>0</v>
      </c>
      <c r="BE149" s="600">
        <f t="shared" si="252"/>
        <v>8174275.2993670963</v>
      </c>
      <c r="BF149" s="600">
        <f t="shared" si="253"/>
        <v>6000000</v>
      </c>
      <c r="BG149" s="600">
        <v>0</v>
      </c>
      <c r="BH149" s="600">
        <v>0</v>
      </c>
      <c r="BI149" s="600">
        <f t="shared" si="254"/>
        <v>0</v>
      </c>
      <c r="BJ149" s="600">
        <f t="shared" si="255"/>
        <v>6000000</v>
      </c>
      <c r="BK149" s="600">
        <f t="shared" si="256"/>
        <v>2107799.9999999995</v>
      </c>
      <c r="BL149" s="600">
        <v>6000000</v>
      </c>
      <c r="BM149" s="600">
        <f t="shared" si="257"/>
        <v>0</v>
      </c>
      <c r="BN149" s="600">
        <f t="shared" si="258"/>
        <v>0</v>
      </c>
      <c r="BO149" s="600">
        <f t="shared" si="259"/>
        <v>0</v>
      </c>
      <c r="BP149" s="600">
        <f t="shared" si="260"/>
        <v>2107799.9999999995</v>
      </c>
      <c r="BQ149" s="600">
        <f t="shared" si="261"/>
        <v>0</v>
      </c>
      <c r="BR149" s="600">
        <f t="shared" si="262"/>
        <v>0</v>
      </c>
      <c r="BT149" s="606">
        <f t="shared" si="263"/>
        <v>1</v>
      </c>
      <c r="BU149" s="607">
        <f t="shared" si="264"/>
        <v>0</v>
      </c>
      <c r="BV149" s="606">
        <f t="shared" si="265"/>
        <v>1</v>
      </c>
      <c r="BW149" s="607">
        <f t="shared" si="266"/>
        <v>0</v>
      </c>
      <c r="BX149" s="607">
        <f t="shared" si="267"/>
        <v>0</v>
      </c>
      <c r="BY149" s="607">
        <f t="shared" si="268"/>
        <v>0</v>
      </c>
      <c r="BZ149" s="607">
        <f t="shared" si="269"/>
        <v>0</v>
      </c>
      <c r="CA149" s="607">
        <f t="shared" si="270"/>
        <v>0</v>
      </c>
      <c r="CB149" s="607">
        <f t="shared" si="288"/>
        <v>0</v>
      </c>
      <c r="CC149" s="607">
        <f t="shared" si="271"/>
        <v>0</v>
      </c>
      <c r="CD149" s="607">
        <f t="shared" si="272"/>
        <v>0</v>
      </c>
      <c r="CE149" s="607">
        <f t="shared" si="273"/>
        <v>0</v>
      </c>
      <c r="CF149" s="607">
        <f t="shared" si="274"/>
        <v>0</v>
      </c>
      <c r="CG149" s="607">
        <f t="shared" si="275"/>
        <v>0</v>
      </c>
      <c r="CH149" s="607">
        <f t="shared" si="276"/>
        <v>6000000</v>
      </c>
      <c r="CI149" s="609"/>
      <c r="CK149" s="610" t="str">
        <f t="shared" si="289"/>
        <v/>
      </c>
      <c r="CL149" s="611" t="str">
        <f>IF(CK149="","",COUNTIFS($CK$16:CK149,"Yes")+MAX(State!AD:AD))</f>
        <v/>
      </c>
      <c r="CM149" s="612" t="b">
        <f>IF(C149="", "", AND(INDEX('Summary Dynamic'!$D$8:$D$10, MATCH(H149, 'Summary Dynamic'!$C$8:$C$10, 0))="Include", INDEX('Summary Dynamic'!$D$12:$D$14, MATCH(I149, 'Summary Dynamic'!$C$12:$C$14, 0))="Include", INDEX('Summary Dynamic'!$D$16:$D$17, MATCH(J149, 'Summary Dynamic'!$C$16:$C$17, 0))="Include", INDEX('Summary Dynamic'!$D$19:$D$20, MATCH(K149, 'Summary Dynamic'!$C$19:$C$20, 0))="Include", INDEX('Summary Dynamic'!$D$25:$D$26, MATCH(L149, 'Summary Dynamic'!$C$25:$C$26, 0))="Include",'Summary Dynamic'!$D$23="Include"))</f>
        <v>1</v>
      </c>
      <c r="CN149" s="613">
        <f>IFERROR(IF(CM149=TRUE, COUNTIFS($CM$16:CM149, TRUE), ""), "")</f>
        <v>134</v>
      </c>
      <c r="CP149" s="614" t="str">
        <f t="shared" si="277"/>
        <v>Non-Rural Private</v>
      </c>
      <c r="CY149" s="615"/>
      <c r="CZ149" s="616"/>
    </row>
    <row r="150" spans="2:104" x14ac:dyDescent="0.25">
      <c r="B150" s="617">
        <f t="shared" si="278"/>
        <v>135</v>
      </c>
      <c r="C150" s="593" t="s">
        <v>919</v>
      </c>
      <c r="D150" s="594" t="s">
        <v>919</v>
      </c>
      <c r="E150" s="594" t="s">
        <v>920</v>
      </c>
      <c r="F150" s="407" t="s">
        <v>921</v>
      </c>
      <c r="G150" s="408" t="s">
        <v>282</v>
      </c>
      <c r="H150" s="408" t="s">
        <v>22</v>
      </c>
      <c r="I150" s="408" t="s">
        <v>26</v>
      </c>
      <c r="J150" s="408" t="s">
        <v>35</v>
      </c>
      <c r="K150" s="408" t="s">
        <v>35</v>
      </c>
      <c r="L150" s="408" t="s">
        <v>37</v>
      </c>
      <c r="M150" s="408" t="s">
        <v>35</v>
      </c>
      <c r="N150" s="595" t="str">
        <f t="shared" si="232"/>
        <v>No</v>
      </c>
      <c r="O150" s="596">
        <v>16645</v>
      </c>
      <c r="P150" s="596">
        <v>36875</v>
      </c>
      <c r="Q150" s="597">
        <v>0.41494042834238282</v>
      </c>
      <c r="R150" s="596">
        <f t="shared" si="279"/>
        <v>15300.928295125366</v>
      </c>
      <c r="S150" s="596">
        <f t="shared" si="280"/>
        <v>31945.928295125366</v>
      </c>
      <c r="T150" s="596">
        <f t="shared" si="233"/>
        <v>31945.928295125366</v>
      </c>
      <c r="U150" s="598">
        <f t="shared" si="281"/>
        <v>7.4738239837368976E-3</v>
      </c>
      <c r="V150" s="599">
        <f t="shared" si="290"/>
        <v>0</v>
      </c>
      <c r="W150" s="600">
        <v>4492734.153123741</v>
      </c>
      <c r="X150" s="600">
        <v>0</v>
      </c>
      <c r="Y150" s="600">
        <v>24524.308379471491</v>
      </c>
      <c r="Z150" s="600">
        <f t="shared" si="282"/>
        <v>0</v>
      </c>
      <c r="AA150" s="600">
        <f t="shared" si="283"/>
        <v>4492734.153123741</v>
      </c>
      <c r="AB150" s="601">
        <f t="shared" si="234"/>
        <v>0</v>
      </c>
      <c r="AC150" s="599">
        <v>1432351.6266448866</v>
      </c>
      <c r="AD150" s="599">
        <f>MAX(IF(M150="Yes",'Assumption Inputs'!$C$40,'Assumption Inputs'!$C$41),AC150)</f>
        <v>6000000</v>
      </c>
      <c r="AE150" s="599">
        <f t="shared" si="291"/>
        <v>2914436.645131371</v>
      </c>
      <c r="AF150" s="599">
        <f t="shared" si="235"/>
        <v>0</v>
      </c>
      <c r="AG150" s="599">
        <f t="shared" si="292"/>
        <v>0</v>
      </c>
      <c r="AH150" s="599">
        <f t="shared" si="293"/>
        <v>2914436.645131371</v>
      </c>
      <c r="AI150" s="599">
        <v>15814335.295678182</v>
      </c>
      <c r="AJ150" s="599">
        <v>14236037.787685815</v>
      </c>
      <c r="AK150" s="602">
        <f t="shared" si="284"/>
        <v>0.9001983024589284</v>
      </c>
      <c r="AL150" s="603">
        <f t="shared" si="236"/>
        <v>0</v>
      </c>
      <c r="AM150" s="600">
        <f t="shared" si="285"/>
        <v>2914436.645131371</v>
      </c>
      <c r="AN150" s="600">
        <f t="shared" si="237"/>
        <v>2914436.645131371</v>
      </c>
      <c r="AO150" s="600">
        <f t="shared" si="238"/>
        <v>0</v>
      </c>
      <c r="AP150" s="600">
        <f t="shared" si="239"/>
        <v>1578297.5079923701</v>
      </c>
      <c r="AQ150" s="600">
        <f t="shared" si="286"/>
        <v>0</v>
      </c>
      <c r="AR150" s="600">
        <f t="shared" si="287"/>
        <v>2914436.645131371</v>
      </c>
      <c r="AS150" s="604">
        <f t="shared" si="240"/>
        <v>0</v>
      </c>
      <c r="AT150" s="605">
        <f t="shared" si="241"/>
        <v>0</v>
      </c>
      <c r="AU150" s="600">
        <f t="shared" si="242"/>
        <v>2914436.645131371</v>
      </c>
      <c r="AV150" s="600">
        <f t="shared" si="243"/>
        <v>2914436.645131371</v>
      </c>
      <c r="AW150" s="600">
        <f t="shared" si="244"/>
        <v>0</v>
      </c>
      <c r="AX150" s="600">
        <f t="shared" si="245"/>
        <v>1578297.5079923701</v>
      </c>
      <c r="AY150" s="600">
        <f t="shared" si="246"/>
        <v>3.1053779877803709E-12</v>
      </c>
      <c r="AZ150" s="600">
        <f t="shared" si="247"/>
        <v>2914436.645131371</v>
      </c>
      <c r="BA150" s="600">
        <f t="shared" si="248"/>
        <v>0</v>
      </c>
      <c r="BB150" s="600">
        <f t="shared" si="249"/>
        <v>0</v>
      </c>
      <c r="BC150" s="600">
        <f t="shared" si="250"/>
        <v>0</v>
      </c>
      <c r="BD150" s="600">
        <f t="shared" si="251"/>
        <v>0</v>
      </c>
      <c r="BE150" s="600">
        <f t="shared" si="252"/>
        <v>1578297.5079923701</v>
      </c>
      <c r="BF150" s="600">
        <f t="shared" si="253"/>
        <v>2914436.645131371</v>
      </c>
      <c r="BG150" s="600">
        <v>0</v>
      </c>
      <c r="BH150" s="600">
        <v>0</v>
      </c>
      <c r="BI150" s="600">
        <f t="shared" si="254"/>
        <v>0</v>
      </c>
      <c r="BJ150" s="600">
        <f t="shared" si="255"/>
        <v>2914436.65</v>
      </c>
      <c r="BK150" s="600">
        <f t="shared" si="256"/>
        <v>1023841.5951449998</v>
      </c>
      <c r="BL150" s="600">
        <v>2914436.65</v>
      </c>
      <c r="BM150" s="600">
        <f t="shared" si="257"/>
        <v>0</v>
      </c>
      <c r="BN150" s="600">
        <f t="shared" si="258"/>
        <v>0</v>
      </c>
      <c r="BO150" s="600">
        <f t="shared" si="259"/>
        <v>0</v>
      </c>
      <c r="BP150" s="600">
        <f t="shared" si="260"/>
        <v>1023841.5951449998</v>
      </c>
      <c r="BQ150" s="600">
        <f t="shared" si="261"/>
        <v>0</v>
      </c>
      <c r="BR150" s="600">
        <f t="shared" si="262"/>
        <v>0</v>
      </c>
      <c r="BT150" s="606">
        <f t="shared" si="263"/>
        <v>1</v>
      </c>
      <c r="BU150" s="607">
        <f t="shared" si="264"/>
        <v>0</v>
      </c>
      <c r="BV150" s="606">
        <f t="shared" si="265"/>
        <v>1</v>
      </c>
      <c r="BW150" s="607">
        <f t="shared" si="266"/>
        <v>0</v>
      </c>
      <c r="BX150" s="607">
        <f t="shared" si="267"/>
        <v>0</v>
      </c>
      <c r="BY150" s="607">
        <f t="shared" si="268"/>
        <v>0</v>
      </c>
      <c r="BZ150" s="607">
        <f t="shared" si="269"/>
        <v>0</v>
      </c>
      <c r="CA150" s="607">
        <f t="shared" si="270"/>
        <v>0</v>
      </c>
      <c r="CB150" s="607">
        <f t="shared" si="288"/>
        <v>0</v>
      </c>
      <c r="CC150" s="607">
        <f t="shared" si="271"/>
        <v>0</v>
      </c>
      <c r="CD150" s="607">
        <f t="shared" si="272"/>
        <v>0</v>
      </c>
      <c r="CE150" s="607">
        <f t="shared" si="273"/>
        <v>0</v>
      </c>
      <c r="CF150" s="607">
        <f t="shared" si="274"/>
        <v>0</v>
      </c>
      <c r="CG150" s="607">
        <f t="shared" si="275"/>
        <v>0</v>
      </c>
      <c r="CH150" s="607">
        <f t="shared" si="276"/>
        <v>2914436.65</v>
      </c>
      <c r="CI150" s="609"/>
      <c r="CK150" s="610" t="str">
        <f t="shared" si="289"/>
        <v/>
      </c>
      <c r="CL150" s="611" t="str">
        <f>IF(CK150="","",COUNTIFS($CK$16:CK150,"Yes")+MAX(State!AD:AD))</f>
        <v/>
      </c>
      <c r="CM150" s="612" t="b">
        <f>IF(C150="", "", AND(INDEX('Summary Dynamic'!$D$8:$D$10, MATCH(H150, 'Summary Dynamic'!$C$8:$C$10, 0))="Include", INDEX('Summary Dynamic'!$D$12:$D$14, MATCH(I150, 'Summary Dynamic'!$C$12:$C$14, 0))="Include", INDEX('Summary Dynamic'!$D$16:$D$17, MATCH(J150, 'Summary Dynamic'!$C$16:$C$17, 0))="Include", INDEX('Summary Dynamic'!$D$19:$D$20, MATCH(K150, 'Summary Dynamic'!$C$19:$C$20, 0))="Include", INDEX('Summary Dynamic'!$D$25:$D$26, MATCH(L150, 'Summary Dynamic'!$C$25:$C$26, 0))="Include",'Summary Dynamic'!$D$23="Include"))</f>
        <v>1</v>
      </c>
      <c r="CN150" s="613">
        <f>IFERROR(IF(CM150=TRUE, COUNTIFS($CM$16:CM150, TRUE), ""), "")</f>
        <v>135</v>
      </c>
      <c r="CP150" s="614" t="str">
        <f t="shared" si="277"/>
        <v>Non-Rural Private</v>
      </c>
      <c r="CY150" s="615"/>
      <c r="CZ150" s="616"/>
    </row>
    <row r="151" spans="2:104" x14ac:dyDescent="0.25">
      <c r="B151" s="617">
        <f t="shared" si="278"/>
        <v>136</v>
      </c>
      <c r="C151" s="593" t="s">
        <v>922</v>
      </c>
      <c r="D151" s="594" t="s">
        <v>922</v>
      </c>
      <c r="E151" s="594" t="s">
        <v>923</v>
      </c>
      <c r="F151" s="407" t="s">
        <v>924</v>
      </c>
      <c r="G151" s="408" t="s">
        <v>925</v>
      </c>
      <c r="H151" s="408" t="s">
        <v>22</v>
      </c>
      <c r="I151" s="408" t="s">
        <v>26</v>
      </c>
      <c r="J151" s="408" t="s">
        <v>31</v>
      </c>
      <c r="K151" s="408" t="s">
        <v>35</v>
      </c>
      <c r="L151" s="408" t="s">
        <v>35</v>
      </c>
      <c r="M151" s="408" t="s">
        <v>35</v>
      </c>
      <c r="N151" s="595" t="str">
        <f t="shared" si="232"/>
        <v>No</v>
      </c>
      <c r="O151" s="596">
        <v>2075</v>
      </c>
      <c r="P151" s="596">
        <v>17172</v>
      </c>
      <c r="Q151" s="597">
        <v>9.5867207368696833E-2</v>
      </c>
      <c r="R151" s="596">
        <f t="shared" si="279"/>
        <v>1646.2316849352619</v>
      </c>
      <c r="S151" s="596">
        <f t="shared" si="280"/>
        <v>3721.2316849352619</v>
      </c>
      <c r="T151" s="596">
        <f t="shared" si="233"/>
        <v>3721.2316849352619</v>
      </c>
      <c r="U151" s="598">
        <f t="shared" si="281"/>
        <v>8.7059077948768325E-4</v>
      </c>
      <c r="V151" s="599">
        <f t="shared" si="290"/>
        <v>0</v>
      </c>
      <c r="W151" s="600">
        <v>9112435.0167131461</v>
      </c>
      <c r="X151" s="600">
        <v>0</v>
      </c>
      <c r="Y151" s="600">
        <v>7196662.8972273963</v>
      </c>
      <c r="Z151" s="600">
        <f t="shared" si="282"/>
        <v>0</v>
      </c>
      <c r="AA151" s="600">
        <f t="shared" si="283"/>
        <v>9112435.0167131461</v>
      </c>
      <c r="AB151" s="601">
        <f t="shared" si="234"/>
        <v>0</v>
      </c>
      <c r="AC151" s="599">
        <v>78791.476823413555</v>
      </c>
      <c r="AD151" s="599">
        <f>MAX(IF(M151="Yes",'Assumption Inputs'!$C$40,'Assumption Inputs'!$C$41),AC151)</f>
        <v>6000000</v>
      </c>
      <c r="AE151" s="599">
        <f t="shared" si="291"/>
        <v>5911236.5953418184</v>
      </c>
      <c r="AF151" s="599">
        <f t="shared" si="235"/>
        <v>0</v>
      </c>
      <c r="AG151" s="599">
        <f t="shared" si="292"/>
        <v>0</v>
      </c>
      <c r="AH151" s="599">
        <f t="shared" si="293"/>
        <v>5911236.5953418184</v>
      </c>
      <c r="AI151" s="599">
        <v>21852176.562405519</v>
      </c>
      <c r="AJ151" s="599">
        <v>18650978.141034193</v>
      </c>
      <c r="AK151" s="602">
        <f t="shared" si="284"/>
        <v>0.85350665585968832</v>
      </c>
      <c r="AL151" s="603">
        <f t="shared" si="236"/>
        <v>0</v>
      </c>
      <c r="AM151" s="600">
        <f t="shared" si="285"/>
        <v>5911236.5953418184</v>
      </c>
      <c r="AN151" s="600">
        <f t="shared" si="237"/>
        <v>5911236.5953418184</v>
      </c>
      <c r="AO151" s="600">
        <f t="shared" si="238"/>
        <v>0</v>
      </c>
      <c r="AP151" s="600">
        <f t="shared" si="239"/>
        <v>3201198.4213713277</v>
      </c>
      <c r="AQ151" s="600">
        <f t="shared" si="286"/>
        <v>0</v>
      </c>
      <c r="AR151" s="600">
        <f t="shared" si="287"/>
        <v>5911236.5953418184</v>
      </c>
      <c r="AS151" s="604">
        <f t="shared" si="240"/>
        <v>0</v>
      </c>
      <c r="AT151" s="605">
        <f t="shared" si="241"/>
        <v>0</v>
      </c>
      <c r="AU151" s="600">
        <f t="shared" si="242"/>
        <v>5911236.5953418184</v>
      </c>
      <c r="AV151" s="600">
        <f t="shared" si="243"/>
        <v>5911236.5953418184</v>
      </c>
      <c r="AW151" s="600">
        <f t="shared" si="244"/>
        <v>0</v>
      </c>
      <c r="AX151" s="600">
        <f t="shared" si="245"/>
        <v>3201198.4213713277</v>
      </c>
      <c r="AY151" s="600">
        <f t="shared" si="246"/>
        <v>6.2985153698233239E-12</v>
      </c>
      <c r="AZ151" s="600">
        <f t="shared" si="247"/>
        <v>5911236.5953418184</v>
      </c>
      <c r="BA151" s="600">
        <f t="shared" si="248"/>
        <v>0</v>
      </c>
      <c r="BB151" s="600">
        <f t="shared" si="249"/>
        <v>0</v>
      </c>
      <c r="BC151" s="600">
        <f t="shared" si="250"/>
        <v>0</v>
      </c>
      <c r="BD151" s="600">
        <f t="shared" si="251"/>
        <v>0</v>
      </c>
      <c r="BE151" s="600">
        <f t="shared" si="252"/>
        <v>3201198.4213713277</v>
      </c>
      <c r="BF151" s="600">
        <f t="shared" si="253"/>
        <v>5911236.5953418184</v>
      </c>
      <c r="BG151" s="600">
        <v>0</v>
      </c>
      <c r="BH151" s="600">
        <v>0</v>
      </c>
      <c r="BI151" s="600">
        <f t="shared" si="254"/>
        <v>0</v>
      </c>
      <c r="BJ151" s="600">
        <f t="shared" si="255"/>
        <v>5911236.5999999996</v>
      </c>
      <c r="BK151" s="600">
        <f t="shared" si="256"/>
        <v>2076617.4175799997</v>
      </c>
      <c r="BL151" s="600">
        <v>5911236.5999999996</v>
      </c>
      <c r="BM151" s="600">
        <f t="shared" si="257"/>
        <v>0</v>
      </c>
      <c r="BN151" s="600">
        <f t="shared" si="258"/>
        <v>0</v>
      </c>
      <c r="BO151" s="600">
        <f t="shared" si="259"/>
        <v>0</v>
      </c>
      <c r="BP151" s="600">
        <f t="shared" si="260"/>
        <v>2076617.4175799997</v>
      </c>
      <c r="BQ151" s="600">
        <f t="shared" si="261"/>
        <v>0</v>
      </c>
      <c r="BR151" s="600">
        <f t="shared" si="262"/>
        <v>0</v>
      </c>
      <c r="BT151" s="606">
        <f t="shared" si="263"/>
        <v>1</v>
      </c>
      <c r="BU151" s="607">
        <f t="shared" si="264"/>
        <v>0</v>
      </c>
      <c r="BV151" s="606">
        <f t="shared" si="265"/>
        <v>1.1240168534648867</v>
      </c>
      <c r="BW151" s="607">
        <f t="shared" si="266"/>
        <v>0</v>
      </c>
      <c r="BX151" s="607">
        <f t="shared" si="267"/>
        <v>0</v>
      </c>
      <c r="BY151" s="607">
        <f t="shared" si="268"/>
        <v>0</v>
      </c>
      <c r="BZ151" s="607">
        <f t="shared" si="269"/>
        <v>0</v>
      </c>
      <c r="CA151" s="607">
        <f t="shared" si="270"/>
        <v>0</v>
      </c>
      <c r="CB151" s="607">
        <f t="shared" si="288"/>
        <v>0</v>
      </c>
      <c r="CC151" s="607">
        <f t="shared" si="271"/>
        <v>1124581.0054277473</v>
      </c>
      <c r="CD151" s="607">
        <f t="shared" si="272"/>
        <v>3201198.4213713277</v>
      </c>
      <c r="CE151" s="607">
        <f t="shared" si="273"/>
        <v>3201198.4213713277</v>
      </c>
      <c r="CF151" s="607">
        <f t="shared" si="274"/>
        <v>1542891.11</v>
      </c>
      <c r="CG151" s="607">
        <f t="shared" si="275"/>
        <v>0</v>
      </c>
      <c r="CH151" s="607">
        <f t="shared" si="276"/>
        <v>7454127.71</v>
      </c>
      <c r="CI151" s="609"/>
      <c r="CK151" s="610" t="str">
        <f t="shared" si="289"/>
        <v/>
      </c>
      <c r="CL151" s="611" t="str">
        <f>IF(CK151="","",COUNTIFS($CK$16:CK151,"Yes")+MAX(State!AD:AD))</f>
        <v/>
      </c>
      <c r="CM151" s="612" t="b">
        <f>IF(C151="", "", AND(INDEX('Summary Dynamic'!$D$8:$D$10, MATCH(H151, 'Summary Dynamic'!$C$8:$C$10, 0))="Include", INDEX('Summary Dynamic'!$D$12:$D$14, MATCH(I151, 'Summary Dynamic'!$C$12:$C$14, 0))="Include", INDEX('Summary Dynamic'!$D$16:$D$17, MATCH(J151, 'Summary Dynamic'!$C$16:$C$17, 0))="Include", INDEX('Summary Dynamic'!$D$19:$D$20, MATCH(K151, 'Summary Dynamic'!$C$19:$C$20, 0))="Include", INDEX('Summary Dynamic'!$D$25:$D$26, MATCH(L151, 'Summary Dynamic'!$C$25:$C$26, 0))="Include",'Summary Dynamic'!$D$23="Include"))</f>
        <v>1</v>
      </c>
      <c r="CN151" s="613">
        <f>IFERROR(IF(CM151=TRUE, COUNTIFS($CM$16:CM151, TRUE), ""), "")</f>
        <v>136</v>
      </c>
      <c r="CP151" s="614" t="str">
        <f t="shared" si="277"/>
        <v>Rural Private</v>
      </c>
      <c r="CY151" s="615"/>
      <c r="CZ151" s="616"/>
    </row>
    <row r="152" spans="2:104" x14ac:dyDescent="0.25">
      <c r="B152" s="617">
        <f t="shared" si="278"/>
        <v>137</v>
      </c>
      <c r="C152" s="593" t="s">
        <v>926</v>
      </c>
      <c r="D152" s="594" t="s">
        <v>926</v>
      </c>
      <c r="E152" s="594" t="s">
        <v>927</v>
      </c>
      <c r="F152" s="407" t="s">
        <v>928</v>
      </c>
      <c r="G152" s="408" t="s">
        <v>291</v>
      </c>
      <c r="H152" s="408" t="s">
        <v>22</v>
      </c>
      <c r="I152" s="408" t="s">
        <v>26</v>
      </c>
      <c r="J152" s="408" t="s">
        <v>35</v>
      </c>
      <c r="K152" s="408" t="s">
        <v>35</v>
      </c>
      <c r="L152" s="408" t="s">
        <v>37</v>
      </c>
      <c r="M152" s="408" t="s">
        <v>35</v>
      </c>
      <c r="N152" s="595" t="str">
        <f t="shared" si="232"/>
        <v>No</v>
      </c>
      <c r="O152" s="596">
        <v>7757</v>
      </c>
      <c r="P152" s="596">
        <v>15492</v>
      </c>
      <c r="Q152" s="597">
        <v>0.50270074192355452</v>
      </c>
      <c r="R152" s="596">
        <f t="shared" si="279"/>
        <v>7787.8398938797063</v>
      </c>
      <c r="S152" s="596">
        <f t="shared" si="280"/>
        <v>15544.839893879707</v>
      </c>
      <c r="T152" s="596">
        <f t="shared" si="233"/>
        <v>15544.839893879707</v>
      </c>
      <c r="U152" s="598">
        <f t="shared" si="281"/>
        <v>3.6367513302143144E-3</v>
      </c>
      <c r="V152" s="599">
        <f t="shared" si="290"/>
        <v>0</v>
      </c>
      <c r="W152" s="600">
        <v>3797518.0711355847</v>
      </c>
      <c r="X152" s="600">
        <v>0</v>
      </c>
      <c r="Y152" s="600">
        <v>580264.47455040249</v>
      </c>
      <c r="Z152" s="600">
        <f t="shared" si="282"/>
        <v>0</v>
      </c>
      <c r="AA152" s="600">
        <f t="shared" si="283"/>
        <v>3797518.0711355847</v>
      </c>
      <c r="AB152" s="601">
        <f t="shared" si="234"/>
        <v>0</v>
      </c>
      <c r="AC152" s="599">
        <v>153850.68463077085</v>
      </c>
      <c r="AD152" s="599">
        <f>MAX(IF(M152="Yes",'Assumption Inputs'!$C$40,'Assumption Inputs'!$C$41),AC152)</f>
        <v>6000000</v>
      </c>
      <c r="AE152" s="599">
        <f t="shared" si="291"/>
        <v>2463449.9727456542</v>
      </c>
      <c r="AF152" s="599">
        <f t="shared" si="235"/>
        <v>0</v>
      </c>
      <c r="AG152" s="599">
        <f t="shared" si="292"/>
        <v>0</v>
      </c>
      <c r="AH152" s="599">
        <f t="shared" si="293"/>
        <v>2463449.9727456542</v>
      </c>
      <c r="AI152" s="599">
        <v>9827453.2402062304</v>
      </c>
      <c r="AJ152" s="599">
        <v>8493385.1418162994</v>
      </c>
      <c r="AK152" s="602">
        <f t="shared" si="284"/>
        <v>0.86425088313501497</v>
      </c>
      <c r="AL152" s="603">
        <f t="shared" si="236"/>
        <v>0</v>
      </c>
      <c r="AM152" s="600">
        <f t="shared" si="285"/>
        <v>2463449.9727456542</v>
      </c>
      <c r="AN152" s="600">
        <f t="shared" si="237"/>
        <v>2463449.9727456542</v>
      </c>
      <c r="AO152" s="600">
        <f t="shared" si="238"/>
        <v>0</v>
      </c>
      <c r="AP152" s="600">
        <f t="shared" si="239"/>
        <v>1334068.0983899306</v>
      </c>
      <c r="AQ152" s="600">
        <f t="shared" si="286"/>
        <v>0</v>
      </c>
      <c r="AR152" s="600">
        <f t="shared" si="287"/>
        <v>2463449.9727456542</v>
      </c>
      <c r="AS152" s="604">
        <f t="shared" si="240"/>
        <v>0</v>
      </c>
      <c r="AT152" s="605">
        <f t="shared" si="241"/>
        <v>0</v>
      </c>
      <c r="AU152" s="600">
        <f t="shared" si="242"/>
        <v>2463449.9727456542</v>
      </c>
      <c r="AV152" s="600">
        <f t="shared" si="243"/>
        <v>2463449.9727456542</v>
      </c>
      <c r="AW152" s="600">
        <f t="shared" si="244"/>
        <v>0</v>
      </c>
      <c r="AX152" s="600">
        <f t="shared" si="245"/>
        <v>1334068.0983899306</v>
      </c>
      <c r="AY152" s="600">
        <f t="shared" si="246"/>
        <v>2.6248446100696345E-12</v>
      </c>
      <c r="AZ152" s="600">
        <f t="shared" si="247"/>
        <v>2463449.9727456542</v>
      </c>
      <c r="BA152" s="600">
        <f t="shared" si="248"/>
        <v>0</v>
      </c>
      <c r="BB152" s="600">
        <f t="shared" si="249"/>
        <v>0</v>
      </c>
      <c r="BC152" s="600">
        <f t="shared" si="250"/>
        <v>0</v>
      </c>
      <c r="BD152" s="600">
        <f t="shared" si="251"/>
        <v>0</v>
      </c>
      <c r="BE152" s="600">
        <f t="shared" si="252"/>
        <v>1334068.0983899306</v>
      </c>
      <c r="BF152" s="600">
        <f t="shared" si="253"/>
        <v>2463449.9727456542</v>
      </c>
      <c r="BG152" s="600">
        <v>0</v>
      </c>
      <c r="BH152" s="600">
        <v>0</v>
      </c>
      <c r="BI152" s="600">
        <f t="shared" si="254"/>
        <v>0</v>
      </c>
      <c r="BJ152" s="600">
        <f t="shared" si="255"/>
        <v>2463449.9700000002</v>
      </c>
      <c r="BK152" s="600">
        <f t="shared" si="256"/>
        <v>865409.97446099995</v>
      </c>
      <c r="BL152" s="600">
        <v>2463449.9700000002</v>
      </c>
      <c r="BM152" s="600">
        <f t="shared" si="257"/>
        <v>0</v>
      </c>
      <c r="BN152" s="600">
        <f t="shared" si="258"/>
        <v>0</v>
      </c>
      <c r="BO152" s="600">
        <f t="shared" si="259"/>
        <v>0</v>
      </c>
      <c r="BP152" s="600">
        <f t="shared" si="260"/>
        <v>865409.97446099995</v>
      </c>
      <c r="BQ152" s="600">
        <f t="shared" si="261"/>
        <v>0</v>
      </c>
      <c r="BR152" s="600">
        <f t="shared" si="262"/>
        <v>0</v>
      </c>
      <c r="BT152" s="606">
        <f t="shared" si="263"/>
        <v>1</v>
      </c>
      <c r="BU152" s="607">
        <f t="shared" si="264"/>
        <v>0</v>
      </c>
      <c r="BV152" s="606">
        <f t="shared" si="265"/>
        <v>1</v>
      </c>
      <c r="BW152" s="607">
        <f t="shared" si="266"/>
        <v>0</v>
      </c>
      <c r="BX152" s="607">
        <f t="shared" si="267"/>
        <v>0</v>
      </c>
      <c r="BY152" s="607">
        <f t="shared" si="268"/>
        <v>0</v>
      </c>
      <c r="BZ152" s="607">
        <f t="shared" si="269"/>
        <v>0</v>
      </c>
      <c r="CA152" s="607">
        <f t="shared" si="270"/>
        <v>0</v>
      </c>
      <c r="CB152" s="607">
        <f t="shared" si="288"/>
        <v>0</v>
      </c>
      <c r="CC152" s="607">
        <f t="shared" si="271"/>
        <v>0</v>
      </c>
      <c r="CD152" s="607">
        <f t="shared" si="272"/>
        <v>0</v>
      </c>
      <c r="CE152" s="607">
        <f t="shared" si="273"/>
        <v>0</v>
      </c>
      <c r="CF152" s="607">
        <f t="shared" si="274"/>
        <v>0</v>
      </c>
      <c r="CG152" s="607">
        <f t="shared" si="275"/>
        <v>0</v>
      </c>
      <c r="CH152" s="607">
        <f t="shared" si="276"/>
        <v>2463449.9700000002</v>
      </c>
      <c r="CI152" s="609"/>
      <c r="CK152" s="610" t="str">
        <f t="shared" si="289"/>
        <v/>
      </c>
      <c r="CL152" s="611" t="str">
        <f>IF(CK152="","",COUNTIFS($CK$16:CK152,"Yes")+MAX(State!AD:AD))</f>
        <v/>
      </c>
      <c r="CM152" s="612" t="b">
        <f>IF(C152="", "", AND(INDEX('Summary Dynamic'!$D$8:$D$10, MATCH(H152, 'Summary Dynamic'!$C$8:$C$10, 0))="Include", INDEX('Summary Dynamic'!$D$12:$D$14, MATCH(I152, 'Summary Dynamic'!$C$12:$C$14, 0))="Include", INDEX('Summary Dynamic'!$D$16:$D$17, MATCH(J152, 'Summary Dynamic'!$C$16:$C$17, 0))="Include", INDEX('Summary Dynamic'!$D$19:$D$20, MATCH(K152, 'Summary Dynamic'!$C$19:$C$20, 0))="Include", INDEX('Summary Dynamic'!$D$25:$D$26, MATCH(L152, 'Summary Dynamic'!$C$25:$C$26, 0))="Include",'Summary Dynamic'!$D$23="Include"))</f>
        <v>1</v>
      </c>
      <c r="CN152" s="613">
        <f>IFERROR(IF(CM152=TRUE, COUNTIFS($CM$16:CM152, TRUE), ""), "")</f>
        <v>137</v>
      </c>
      <c r="CP152" s="614" t="str">
        <f t="shared" si="277"/>
        <v>Non-Rural Private</v>
      </c>
      <c r="CY152" s="615"/>
      <c r="CZ152" s="616"/>
    </row>
    <row r="153" spans="2:104" x14ac:dyDescent="0.25">
      <c r="B153" s="617">
        <f t="shared" si="278"/>
        <v>138</v>
      </c>
      <c r="C153" s="593" t="s">
        <v>929</v>
      </c>
      <c r="D153" s="594" t="s">
        <v>929</v>
      </c>
      <c r="E153" s="594" t="s">
        <v>930</v>
      </c>
      <c r="F153" s="407" t="s">
        <v>931</v>
      </c>
      <c r="G153" s="408" t="s">
        <v>932</v>
      </c>
      <c r="H153" s="408" t="s">
        <v>22</v>
      </c>
      <c r="I153" s="408" t="s">
        <v>26</v>
      </c>
      <c r="J153" s="408" t="s">
        <v>31</v>
      </c>
      <c r="K153" s="408" t="s">
        <v>35</v>
      </c>
      <c r="L153" s="408" t="s">
        <v>35</v>
      </c>
      <c r="M153" s="408" t="s">
        <v>35</v>
      </c>
      <c r="N153" s="595" t="str">
        <f t="shared" si="232"/>
        <v>No</v>
      </c>
      <c r="O153" s="596">
        <v>1280</v>
      </c>
      <c r="P153" s="596">
        <v>7025</v>
      </c>
      <c r="Q153" s="597">
        <v>0.22353100753212821</v>
      </c>
      <c r="R153" s="596">
        <f t="shared" si="279"/>
        <v>1570.3053279132007</v>
      </c>
      <c r="S153" s="596">
        <f t="shared" si="280"/>
        <v>2850.3053279132009</v>
      </c>
      <c r="T153" s="596">
        <f t="shared" si="233"/>
        <v>2850.3053279132009</v>
      </c>
      <c r="U153" s="598">
        <f t="shared" si="281"/>
        <v>6.6683553922523896E-4</v>
      </c>
      <c r="V153" s="599">
        <f t="shared" si="290"/>
        <v>0</v>
      </c>
      <c r="W153" s="600">
        <v>6738716.8710536845</v>
      </c>
      <c r="X153" s="600">
        <v>0</v>
      </c>
      <c r="Y153" s="600">
        <v>3228692.4009045586</v>
      </c>
      <c r="Z153" s="600">
        <f t="shared" si="282"/>
        <v>0</v>
      </c>
      <c r="AA153" s="600">
        <f t="shared" si="283"/>
        <v>6738716.8710536845</v>
      </c>
      <c r="AB153" s="601">
        <f t="shared" si="234"/>
        <v>0</v>
      </c>
      <c r="AC153" s="599">
        <v>2125586.3185853814</v>
      </c>
      <c r="AD153" s="599">
        <f>MAX(IF(M153="Yes",'Assumption Inputs'!$C$40,'Assumption Inputs'!$C$41),AC153)</f>
        <v>6000000</v>
      </c>
      <c r="AE153" s="599">
        <f t="shared" si="291"/>
        <v>4371405.6342525259</v>
      </c>
      <c r="AF153" s="599">
        <f t="shared" si="235"/>
        <v>0</v>
      </c>
      <c r="AG153" s="599">
        <f t="shared" si="292"/>
        <v>0</v>
      </c>
      <c r="AH153" s="599">
        <f t="shared" si="293"/>
        <v>4371405.6342525259</v>
      </c>
      <c r="AI153" s="599">
        <v>11593750.338460049</v>
      </c>
      <c r="AJ153" s="599">
        <v>9226439.1016588919</v>
      </c>
      <c r="AK153" s="602">
        <f t="shared" si="284"/>
        <v>0.79581143567081525</v>
      </c>
      <c r="AL153" s="603">
        <f t="shared" si="236"/>
        <v>0</v>
      </c>
      <c r="AM153" s="600">
        <f t="shared" si="285"/>
        <v>4371405.6342525259</v>
      </c>
      <c r="AN153" s="600">
        <f t="shared" si="237"/>
        <v>4371405.6342525259</v>
      </c>
      <c r="AO153" s="600">
        <f t="shared" si="238"/>
        <v>0</v>
      </c>
      <c r="AP153" s="600">
        <f t="shared" si="239"/>
        <v>2367311.2368011586</v>
      </c>
      <c r="AQ153" s="600">
        <f t="shared" si="286"/>
        <v>0</v>
      </c>
      <c r="AR153" s="600">
        <f t="shared" si="287"/>
        <v>4371405.6342525259</v>
      </c>
      <c r="AS153" s="604">
        <f t="shared" si="240"/>
        <v>0</v>
      </c>
      <c r="AT153" s="605">
        <f t="shared" si="241"/>
        <v>0</v>
      </c>
      <c r="AU153" s="600">
        <f t="shared" si="242"/>
        <v>4371405.6342525259</v>
      </c>
      <c r="AV153" s="600">
        <f t="shared" si="243"/>
        <v>4371405.6342525259</v>
      </c>
      <c r="AW153" s="600">
        <f t="shared" si="244"/>
        <v>0</v>
      </c>
      <c r="AX153" s="600">
        <f t="shared" si="245"/>
        <v>2367311.2368011586</v>
      </c>
      <c r="AY153" s="600">
        <f t="shared" si="246"/>
        <v>4.6578013129720925E-12</v>
      </c>
      <c r="AZ153" s="600">
        <f t="shared" si="247"/>
        <v>4371405.6342525259</v>
      </c>
      <c r="BA153" s="600">
        <f t="shared" si="248"/>
        <v>0</v>
      </c>
      <c r="BB153" s="600">
        <f t="shared" si="249"/>
        <v>0</v>
      </c>
      <c r="BC153" s="600">
        <f t="shared" si="250"/>
        <v>0</v>
      </c>
      <c r="BD153" s="600">
        <f t="shared" si="251"/>
        <v>0</v>
      </c>
      <c r="BE153" s="600">
        <f t="shared" si="252"/>
        <v>2367311.2368011586</v>
      </c>
      <c r="BF153" s="600">
        <f t="shared" si="253"/>
        <v>4371405.6342525259</v>
      </c>
      <c r="BG153" s="600">
        <v>0</v>
      </c>
      <c r="BH153" s="600">
        <v>0</v>
      </c>
      <c r="BI153" s="600">
        <f t="shared" si="254"/>
        <v>0</v>
      </c>
      <c r="BJ153" s="600">
        <f t="shared" si="255"/>
        <v>4371405.63</v>
      </c>
      <c r="BK153" s="600">
        <f t="shared" si="256"/>
        <v>1535674.7978189997</v>
      </c>
      <c r="BL153" s="600">
        <v>4371405.63</v>
      </c>
      <c r="BM153" s="600">
        <f t="shared" si="257"/>
        <v>0</v>
      </c>
      <c r="BN153" s="600">
        <f t="shared" si="258"/>
        <v>0</v>
      </c>
      <c r="BO153" s="600">
        <f t="shared" si="259"/>
        <v>0</v>
      </c>
      <c r="BP153" s="600">
        <f t="shared" si="260"/>
        <v>1535674.7978189997</v>
      </c>
      <c r="BQ153" s="600">
        <f t="shared" si="261"/>
        <v>0</v>
      </c>
      <c r="BR153" s="600">
        <f t="shared" si="262"/>
        <v>0</v>
      </c>
      <c r="BT153" s="606">
        <f t="shared" si="263"/>
        <v>1</v>
      </c>
      <c r="BU153" s="607">
        <f t="shared" si="264"/>
        <v>0</v>
      </c>
      <c r="BV153" s="606">
        <f t="shared" si="265"/>
        <v>1.1728598887066459</v>
      </c>
      <c r="BW153" s="607">
        <f t="shared" si="266"/>
        <v>0</v>
      </c>
      <c r="BX153" s="607">
        <f t="shared" si="267"/>
        <v>0</v>
      </c>
      <c r="BY153" s="607">
        <f t="shared" si="268"/>
        <v>0</v>
      </c>
      <c r="BZ153" s="607">
        <f t="shared" si="269"/>
        <v>0</v>
      </c>
      <c r="CA153" s="607">
        <f t="shared" si="270"/>
        <v>0</v>
      </c>
      <c r="CB153" s="607">
        <f t="shared" si="288"/>
        <v>0</v>
      </c>
      <c r="CC153" s="607">
        <f t="shared" si="271"/>
        <v>831636.43748824694</v>
      </c>
      <c r="CD153" s="607">
        <f t="shared" si="272"/>
        <v>2367311.2368011586</v>
      </c>
      <c r="CE153" s="607">
        <f t="shared" si="273"/>
        <v>2367311.2368011586</v>
      </c>
      <c r="CF153" s="607">
        <f t="shared" si="274"/>
        <v>1140980.03</v>
      </c>
      <c r="CG153" s="607">
        <f t="shared" si="275"/>
        <v>0</v>
      </c>
      <c r="CH153" s="607">
        <f t="shared" si="276"/>
        <v>5512385.6600000001</v>
      </c>
      <c r="CI153" s="609"/>
      <c r="CK153" s="610" t="str">
        <f t="shared" si="289"/>
        <v/>
      </c>
      <c r="CL153" s="611" t="str">
        <f>IF(CK153="","",COUNTIFS($CK$16:CK153,"Yes")+MAX(State!AD:AD))</f>
        <v/>
      </c>
      <c r="CM153" s="612" t="b">
        <f>IF(C153="", "", AND(INDEX('Summary Dynamic'!$D$8:$D$10, MATCH(H153, 'Summary Dynamic'!$C$8:$C$10, 0))="Include", INDEX('Summary Dynamic'!$D$12:$D$14, MATCH(I153, 'Summary Dynamic'!$C$12:$C$14, 0))="Include", INDEX('Summary Dynamic'!$D$16:$D$17, MATCH(J153, 'Summary Dynamic'!$C$16:$C$17, 0))="Include", INDEX('Summary Dynamic'!$D$19:$D$20, MATCH(K153, 'Summary Dynamic'!$C$19:$C$20, 0))="Include", INDEX('Summary Dynamic'!$D$25:$D$26, MATCH(L153, 'Summary Dynamic'!$C$25:$C$26, 0))="Include",'Summary Dynamic'!$D$23="Include"))</f>
        <v>1</v>
      </c>
      <c r="CN153" s="613">
        <f>IFERROR(IF(CM153=TRUE, COUNTIFS($CM$16:CM153, TRUE), ""), "")</f>
        <v>138</v>
      </c>
      <c r="CP153" s="614" t="str">
        <f t="shared" si="277"/>
        <v>Rural Private</v>
      </c>
      <c r="CY153" s="615"/>
      <c r="CZ153" s="616"/>
    </row>
    <row r="154" spans="2:104" x14ac:dyDescent="0.25">
      <c r="B154" s="617">
        <f t="shared" si="278"/>
        <v>139</v>
      </c>
      <c r="C154" s="593" t="s">
        <v>86</v>
      </c>
      <c r="D154" s="594" t="s">
        <v>86</v>
      </c>
      <c r="E154" s="594" t="s">
        <v>933</v>
      </c>
      <c r="F154" s="407" t="s">
        <v>934</v>
      </c>
      <c r="G154" s="408" t="s">
        <v>935</v>
      </c>
      <c r="H154" s="408" t="s">
        <v>22</v>
      </c>
      <c r="I154" s="408" t="s">
        <v>26</v>
      </c>
      <c r="J154" s="408" t="s">
        <v>35</v>
      </c>
      <c r="K154" s="408" t="s">
        <v>35</v>
      </c>
      <c r="L154" s="408" t="s">
        <v>35</v>
      </c>
      <c r="M154" s="408" t="s">
        <v>37</v>
      </c>
      <c r="N154" s="595" t="str">
        <f t="shared" si="232"/>
        <v>No</v>
      </c>
      <c r="O154" s="596">
        <v>3143</v>
      </c>
      <c r="P154" s="596">
        <v>20041</v>
      </c>
      <c r="Q154" s="597">
        <v>0.14095823570863331</v>
      </c>
      <c r="R154" s="596">
        <f t="shared" si="279"/>
        <v>2824.94400183672</v>
      </c>
      <c r="S154" s="596">
        <f t="shared" si="280"/>
        <v>5967.9440018367204</v>
      </c>
      <c r="T154" s="596">
        <f t="shared" si="233"/>
        <v>5967.9440018367204</v>
      </c>
      <c r="U154" s="598">
        <f t="shared" si="281"/>
        <v>1.3962143344988373E-3</v>
      </c>
      <c r="V154" s="599">
        <f t="shared" si="290"/>
        <v>0</v>
      </c>
      <c r="W154" s="600">
        <v>8796251.7206178717</v>
      </c>
      <c r="X154" s="600">
        <v>0</v>
      </c>
      <c r="Y154" s="600">
        <v>13832197.042233877</v>
      </c>
      <c r="Z154" s="600">
        <f t="shared" si="282"/>
        <v>0</v>
      </c>
      <c r="AA154" s="600">
        <f t="shared" si="283"/>
        <v>8796251.7206178717</v>
      </c>
      <c r="AB154" s="601">
        <f t="shared" si="234"/>
        <v>0</v>
      </c>
      <c r="AC154" s="599">
        <v>0</v>
      </c>
      <c r="AD154" s="599">
        <f>MAX(IF(M154="Yes",'Assumption Inputs'!$C$40,'Assumption Inputs'!$C$41),AC154)</f>
        <v>8000000</v>
      </c>
      <c r="AE154" s="599">
        <f t="shared" si="291"/>
        <v>5706128.4911648137</v>
      </c>
      <c r="AF154" s="599">
        <f t="shared" si="235"/>
        <v>0</v>
      </c>
      <c r="AG154" s="599">
        <f t="shared" si="292"/>
        <v>0</v>
      </c>
      <c r="AH154" s="599">
        <f t="shared" si="293"/>
        <v>5706128.4911648137</v>
      </c>
      <c r="AI154" s="599">
        <v>22804508.751032386</v>
      </c>
      <c r="AJ154" s="599">
        <v>19714385.521579329</v>
      </c>
      <c r="AK154" s="602">
        <f t="shared" si="284"/>
        <v>0.86449507581200746</v>
      </c>
      <c r="AL154" s="603">
        <f t="shared" si="236"/>
        <v>0</v>
      </c>
      <c r="AM154" s="600">
        <f t="shared" si="285"/>
        <v>5706128.4911648137</v>
      </c>
      <c r="AN154" s="600">
        <f t="shared" si="237"/>
        <v>5706128.4911648137</v>
      </c>
      <c r="AO154" s="600">
        <f t="shared" si="238"/>
        <v>0</v>
      </c>
      <c r="AP154" s="600">
        <f t="shared" si="239"/>
        <v>3090123.229453058</v>
      </c>
      <c r="AQ154" s="600">
        <f t="shared" si="286"/>
        <v>0</v>
      </c>
      <c r="AR154" s="600">
        <f t="shared" si="287"/>
        <v>5706128.4911648137</v>
      </c>
      <c r="AS154" s="604">
        <f t="shared" si="240"/>
        <v>0</v>
      </c>
      <c r="AT154" s="605">
        <f t="shared" si="241"/>
        <v>0</v>
      </c>
      <c r="AU154" s="600">
        <f t="shared" si="242"/>
        <v>5706128.4911648137</v>
      </c>
      <c r="AV154" s="600">
        <f t="shared" si="243"/>
        <v>5706128.4911648137</v>
      </c>
      <c r="AW154" s="600">
        <f t="shared" si="244"/>
        <v>0</v>
      </c>
      <c r="AX154" s="600">
        <f t="shared" si="245"/>
        <v>3090123.229453058</v>
      </c>
      <c r="AY154" s="600">
        <f t="shared" si="246"/>
        <v>6.079969465629232E-12</v>
      </c>
      <c r="AZ154" s="600">
        <f t="shared" si="247"/>
        <v>5706128.4911648137</v>
      </c>
      <c r="BA154" s="600">
        <f t="shared" si="248"/>
        <v>0</v>
      </c>
      <c r="BB154" s="600">
        <f t="shared" si="249"/>
        <v>0</v>
      </c>
      <c r="BC154" s="600">
        <f t="shared" si="250"/>
        <v>0</v>
      </c>
      <c r="BD154" s="600">
        <f t="shared" si="251"/>
        <v>0</v>
      </c>
      <c r="BE154" s="600">
        <f t="shared" si="252"/>
        <v>3090123.229453058</v>
      </c>
      <c r="BF154" s="600">
        <f t="shared" si="253"/>
        <v>5706128.4911648137</v>
      </c>
      <c r="BG154" s="600">
        <v>0</v>
      </c>
      <c r="BH154" s="600">
        <v>0</v>
      </c>
      <c r="BI154" s="600">
        <f t="shared" si="254"/>
        <v>0</v>
      </c>
      <c r="BJ154" s="600">
        <f t="shared" si="255"/>
        <v>5706128.4900000002</v>
      </c>
      <c r="BK154" s="600">
        <f t="shared" si="256"/>
        <v>2004562.9385369997</v>
      </c>
      <c r="BL154" s="600">
        <v>5706128.4900000002</v>
      </c>
      <c r="BM154" s="600">
        <f t="shared" si="257"/>
        <v>0</v>
      </c>
      <c r="BN154" s="600">
        <f t="shared" si="258"/>
        <v>0</v>
      </c>
      <c r="BO154" s="600">
        <f t="shared" si="259"/>
        <v>0</v>
      </c>
      <c r="BP154" s="600">
        <f t="shared" si="260"/>
        <v>2004562.9385369997</v>
      </c>
      <c r="BQ154" s="600">
        <f t="shared" si="261"/>
        <v>0</v>
      </c>
      <c r="BR154" s="600">
        <f t="shared" si="262"/>
        <v>0</v>
      </c>
      <c r="BT154" s="606">
        <f t="shared" si="263"/>
        <v>1</v>
      </c>
      <c r="BU154" s="607">
        <f t="shared" si="264"/>
        <v>0</v>
      </c>
      <c r="BV154" s="606">
        <f t="shared" si="265"/>
        <v>1</v>
      </c>
      <c r="BW154" s="607">
        <f t="shared" si="266"/>
        <v>0</v>
      </c>
      <c r="BX154" s="607">
        <f t="shared" si="267"/>
        <v>0</v>
      </c>
      <c r="BY154" s="607">
        <f t="shared" si="268"/>
        <v>0</v>
      </c>
      <c r="BZ154" s="607">
        <f t="shared" si="269"/>
        <v>0</v>
      </c>
      <c r="CA154" s="607">
        <f t="shared" si="270"/>
        <v>0</v>
      </c>
      <c r="CB154" s="607">
        <f t="shared" si="288"/>
        <v>0</v>
      </c>
      <c r="CC154" s="607">
        <f t="shared" si="271"/>
        <v>0</v>
      </c>
      <c r="CD154" s="607">
        <f t="shared" si="272"/>
        <v>0</v>
      </c>
      <c r="CE154" s="607">
        <f t="shared" si="273"/>
        <v>0</v>
      </c>
      <c r="CF154" s="607">
        <f t="shared" si="274"/>
        <v>0</v>
      </c>
      <c r="CG154" s="607">
        <f t="shared" si="275"/>
        <v>0</v>
      </c>
      <c r="CH154" s="607">
        <f t="shared" si="276"/>
        <v>5706128.4900000002</v>
      </c>
      <c r="CI154" s="609"/>
      <c r="CK154" s="610" t="str">
        <f t="shared" si="289"/>
        <v/>
      </c>
      <c r="CL154" s="611" t="str">
        <f>IF(CK154="","",COUNTIFS($CK$16:CK154,"Yes")+MAX(State!AD:AD))</f>
        <v/>
      </c>
      <c r="CM154" s="612" t="b">
        <f>IF(C154="", "", AND(INDEX('Summary Dynamic'!$D$8:$D$10, MATCH(H154, 'Summary Dynamic'!$C$8:$C$10, 0))="Include", INDEX('Summary Dynamic'!$D$12:$D$14, MATCH(I154, 'Summary Dynamic'!$C$12:$C$14, 0))="Include", INDEX('Summary Dynamic'!$D$16:$D$17, MATCH(J154, 'Summary Dynamic'!$C$16:$C$17, 0))="Include", INDEX('Summary Dynamic'!$D$19:$D$20, MATCH(K154, 'Summary Dynamic'!$C$19:$C$20, 0))="Include", INDEX('Summary Dynamic'!$D$25:$D$26, MATCH(L154, 'Summary Dynamic'!$C$25:$C$26, 0))="Include",'Summary Dynamic'!$D$23="Include"))</f>
        <v>1</v>
      </c>
      <c r="CN154" s="613">
        <f>IFERROR(IF(CM154=TRUE, COUNTIFS($CM$16:CM154, TRUE), ""), "")</f>
        <v>139</v>
      </c>
      <c r="CP154" s="614" t="str">
        <f t="shared" si="277"/>
        <v>Non-Rural Private</v>
      </c>
      <c r="CY154" s="615"/>
      <c r="CZ154" s="616"/>
    </row>
    <row r="155" spans="2:104" x14ac:dyDescent="0.25">
      <c r="B155" s="617">
        <f t="shared" si="278"/>
        <v>140</v>
      </c>
      <c r="C155" s="593" t="s">
        <v>936</v>
      </c>
      <c r="D155" s="594" t="s">
        <v>936</v>
      </c>
      <c r="E155" s="594" t="s">
        <v>937</v>
      </c>
      <c r="F155" s="407" t="s">
        <v>938</v>
      </c>
      <c r="G155" s="408" t="s">
        <v>302</v>
      </c>
      <c r="H155" s="408" t="s">
        <v>22</v>
      </c>
      <c r="I155" s="408" t="s">
        <v>26</v>
      </c>
      <c r="J155" s="408" t="s">
        <v>35</v>
      </c>
      <c r="K155" s="408" t="s">
        <v>35</v>
      </c>
      <c r="L155" s="408" t="s">
        <v>35</v>
      </c>
      <c r="M155" s="408" t="s">
        <v>37</v>
      </c>
      <c r="N155" s="595" t="str">
        <f t="shared" si="232"/>
        <v>No</v>
      </c>
      <c r="O155" s="596">
        <v>8882</v>
      </c>
      <c r="P155" s="596">
        <v>112828</v>
      </c>
      <c r="Q155" s="597">
        <v>0.14679483774864158</v>
      </c>
      <c r="R155" s="596">
        <f t="shared" si="279"/>
        <v>16562.567953503731</v>
      </c>
      <c r="S155" s="596">
        <f t="shared" si="280"/>
        <v>25444.567953503731</v>
      </c>
      <c r="T155" s="596">
        <f t="shared" si="233"/>
        <v>25444.567953503731</v>
      </c>
      <c r="U155" s="598">
        <f t="shared" si="281"/>
        <v>5.952815659945535E-3</v>
      </c>
      <c r="V155" s="599">
        <f t="shared" si="290"/>
        <v>0</v>
      </c>
      <c r="W155" s="600">
        <v>35746998.17989745</v>
      </c>
      <c r="X155" s="600">
        <v>0</v>
      </c>
      <c r="Y155" s="600">
        <v>47395970.907703608</v>
      </c>
      <c r="Z155" s="600">
        <f t="shared" si="282"/>
        <v>0</v>
      </c>
      <c r="AA155" s="600">
        <f t="shared" si="283"/>
        <v>35746998.17989745</v>
      </c>
      <c r="AB155" s="601">
        <f t="shared" si="234"/>
        <v>0</v>
      </c>
      <c r="AC155" s="599">
        <v>0</v>
      </c>
      <c r="AD155" s="599">
        <f>MAX(IF(M155="Yes",'Assumption Inputs'!$C$40,'Assumption Inputs'!$C$41),AC155)</f>
        <v>8000000</v>
      </c>
      <c r="AE155" s="599">
        <f t="shared" si="291"/>
        <v>8000000</v>
      </c>
      <c r="AF155" s="599">
        <f t="shared" si="235"/>
        <v>0</v>
      </c>
      <c r="AG155" s="599">
        <f t="shared" si="292"/>
        <v>0</v>
      </c>
      <c r="AH155" s="599">
        <f t="shared" si="293"/>
        <v>8000000</v>
      </c>
      <c r="AI155" s="599">
        <v>82268327.038822681</v>
      </c>
      <c r="AJ155" s="599">
        <v>54521328.858925231</v>
      </c>
      <c r="AK155" s="602">
        <f t="shared" si="284"/>
        <v>0.66272562991582951</v>
      </c>
      <c r="AL155" s="603">
        <f t="shared" si="236"/>
        <v>0</v>
      </c>
      <c r="AM155" s="600">
        <f t="shared" si="285"/>
        <v>8000000</v>
      </c>
      <c r="AN155" s="600">
        <f t="shared" si="237"/>
        <v>8000000</v>
      </c>
      <c r="AO155" s="600">
        <f t="shared" si="238"/>
        <v>0</v>
      </c>
      <c r="AP155" s="600">
        <f t="shared" si="239"/>
        <v>27746998.17989745</v>
      </c>
      <c r="AQ155" s="600">
        <f t="shared" si="286"/>
        <v>0</v>
      </c>
      <c r="AR155" s="600">
        <f t="shared" si="287"/>
        <v>8000000</v>
      </c>
      <c r="AS155" s="604">
        <f t="shared" si="240"/>
        <v>0</v>
      </c>
      <c r="AT155" s="605">
        <f t="shared" si="241"/>
        <v>0</v>
      </c>
      <c r="AU155" s="600">
        <f t="shared" si="242"/>
        <v>8000000</v>
      </c>
      <c r="AV155" s="600">
        <f t="shared" si="243"/>
        <v>8000000</v>
      </c>
      <c r="AW155" s="600">
        <f t="shared" si="244"/>
        <v>0</v>
      </c>
      <c r="AX155" s="600">
        <f t="shared" si="245"/>
        <v>27746998.17989745</v>
      </c>
      <c r="AY155" s="600">
        <f t="shared" si="246"/>
        <v>5.4593583870280111E-11</v>
      </c>
      <c r="AZ155" s="600">
        <f t="shared" si="247"/>
        <v>8000000</v>
      </c>
      <c r="BA155" s="600">
        <f t="shared" si="248"/>
        <v>0</v>
      </c>
      <c r="BB155" s="600">
        <f t="shared" si="249"/>
        <v>0</v>
      </c>
      <c r="BC155" s="600">
        <f t="shared" si="250"/>
        <v>0</v>
      </c>
      <c r="BD155" s="600">
        <f t="shared" si="251"/>
        <v>0</v>
      </c>
      <c r="BE155" s="600">
        <f t="shared" si="252"/>
        <v>27746998.17989745</v>
      </c>
      <c r="BF155" s="600">
        <f t="shared" si="253"/>
        <v>8000000</v>
      </c>
      <c r="BG155" s="600">
        <v>0</v>
      </c>
      <c r="BH155" s="600">
        <v>0</v>
      </c>
      <c r="BI155" s="600">
        <f t="shared" si="254"/>
        <v>0</v>
      </c>
      <c r="BJ155" s="600">
        <f t="shared" si="255"/>
        <v>8000000</v>
      </c>
      <c r="BK155" s="600">
        <f t="shared" si="256"/>
        <v>2810399.9999999995</v>
      </c>
      <c r="BL155" s="600">
        <v>8000000</v>
      </c>
      <c r="BM155" s="600">
        <f t="shared" si="257"/>
        <v>0</v>
      </c>
      <c r="BN155" s="600">
        <f t="shared" si="258"/>
        <v>0</v>
      </c>
      <c r="BO155" s="600">
        <f t="shared" si="259"/>
        <v>0</v>
      </c>
      <c r="BP155" s="600">
        <f t="shared" si="260"/>
        <v>2810399.9999999995</v>
      </c>
      <c r="BQ155" s="600">
        <f t="shared" si="261"/>
        <v>0</v>
      </c>
      <c r="BR155" s="600">
        <f t="shared" si="262"/>
        <v>0</v>
      </c>
      <c r="BT155" s="606">
        <f t="shared" si="263"/>
        <v>1</v>
      </c>
      <c r="BU155" s="607">
        <f t="shared" si="264"/>
        <v>0</v>
      </c>
      <c r="BV155" s="606">
        <f t="shared" si="265"/>
        <v>1</v>
      </c>
      <c r="BW155" s="607">
        <f t="shared" si="266"/>
        <v>0</v>
      </c>
      <c r="BX155" s="607">
        <f t="shared" si="267"/>
        <v>0</v>
      </c>
      <c r="BY155" s="607">
        <f t="shared" si="268"/>
        <v>0</v>
      </c>
      <c r="BZ155" s="607">
        <f t="shared" si="269"/>
        <v>0</v>
      </c>
      <c r="CA155" s="607">
        <f t="shared" si="270"/>
        <v>0</v>
      </c>
      <c r="CB155" s="607">
        <f t="shared" si="288"/>
        <v>0</v>
      </c>
      <c r="CC155" s="607">
        <f t="shared" si="271"/>
        <v>0</v>
      </c>
      <c r="CD155" s="607">
        <f t="shared" si="272"/>
        <v>0</v>
      </c>
      <c r="CE155" s="607">
        <f t="shared" si="273"/>
        <v>0</v>
      </c>
      <c r="CF155" s="607">
        <f t="shared" si="274"/>
        <v>0</v>
      </c>
      <c r="CG155" s="607">
        <f t="shared" si="275"/>
        <v>0</v>
      </c>
      <c r="CH155" s="607">
        <f t="shared" si="276"/>
        <v>8000000</v>
      </c>
      <c r="CI155" s="609"/>
      <c r="CK155" s="610" t="str">
        <f t="shared" si="289"/>
        <v/>
      </c>
      <c r="CL155" s="611" t="str">
        <f>IF(CK155="","",COUNTIFS($CK$16:CK155,"Yes")+MAX(State!AD:AD))</f>
        <v/>
      </c>
      <c r="CM155" s="612" t="b">
        <f>IF(C155="", "", AND(INDEX('Summary Dynamic'!$D$8:$D$10, MATCH(H155, 'Summary Dynamic'!$C$8:$C$10, 0))="Include", INDEX('Summary Dynamic'!$D$12:$D$14, MATCH(I155, 'Summary Dynamic'!$C$12:$C$14, 0))="Include", INDEX('Summary Dynamic'!$D$16:$D$17, MATCH(J155, 'Summary Dynamic'!$C$16:$C$17, 0))="Include", INDEX('Summary Dynamic'!$D$19:$D$20, MATCH(K155, 'Summary Dynamic'!$C$19:$C$20, 0))="Include", INDEX('Summary Dynamic'!$D$25:$D$26, MATCH(L155, 'Summary Dynamic'!$C$25:$C$26, 0))="Include",'Summary Dynamic'!$D$23="Include"))</f>
        <v>1</v>
      </c>
      <c r="CN155" s="613">
        <f>IFERROR(IF(CM155=TRUE, COUNTIFS($CM$16:CM155, TRUE), ""), "")</f>
        <v>140</v>
      </c>
      <c r="CP155" s="614" t="str">
        <f t="shared" si="277"/>
        <v>Non-Rural Private</v>
      </c>
      <c r="CY155" s="615"/>
      <c r="CZ155" s="616"/>
    </row>
    <row r="156" spans="2:104" x14ac:dyDescent="0.25">
      <c r="B156" s="617">
        <f t="shared" si="278"/>
        <v>141</v>
      </c>
      <c r="C156" s="593" t="s">
        <v>939</v>
      </c>
      <c r="D156" s="594" t="s">
        <v>939</v>
      </c>
      <c r="E156" s="594" t="s">
        <v>940</v>
      </c>
      <c r="F156" s="407" t="s">
        <v>941</v>
      </c>
      <c r="G156" s="408" t="s">
        <v>479</v>
      </c>
      <c r="H156" s="408" t="s">
        <v>22</v>
      </c>
      <c r="I156" s="408" t="s">
        <v>26</v>
      </c>
      <c r="J156" s="408" t="s">
        <v>35</v>
      </c>
      <c r="K156" s="408" t="s">
        <v>35</v>
      </c>
      <c r="L156" s="408" t="s">
        <v>37</v>
      </c>
      <c r="M156" s="408" t="s">
        <v>35</v>
      </c>
      <c r="N156" s="595" t="str">
        <f t="shared" si="232"/>
        <v>No</v>
      </c>
      <c r="O156" s="596">
        <v>6567</v>
      </c>
      <c r="P156" s="596">
        <v>24508</v>
      </c>
      <c r="Q156" s="597">
        <v>0.33709618934205232</v>
      </c>
      <c r="R156" s="596">
        <f t="shared" si="279"/>
        <v>8261.5534083950188</v>
      </c>
      <c r="S156" s="596">
        <f t="shared" si="280"/>
        <v>14828.553408395019</v>
      </c>
      <c r="T156" s="596">
        <f t="shared" si="233"/>
        <v>14828.553408395019</v>
      </c>
      <c r="U156" s="598">
        <f t="shared" si="281"/>
        <v>3.4691744463940704E-3</v>
      </c>
      <c r="V156" s="599">
        <f t="shared" si="290"/>
        <v>0</v>
      </c>
      <c r="W156" s="600">
        <v>2923589.0265024947</v>
      </c>
      <c r="X156" s="600">
        <v>0</v>
      </c>
      <c r="Y156" s="600">
        <v>376430.36495750397</v>
      </c>
      <c r="Z156" s="600">
        <f t="shared" si="282"/>
        <v>0</v>
      </c>
      <c r="AA156" s="600">
        <f t="shared" si="283"/>
        <v>2923589.0265024947</v>
      </c>
      <c r="AB156" s="601">
        <f t="shared" si="234"/>
        <v>0</v>
      </c>
      <c r="AC156" s="599">
        <v>683157.40034523874</v>
      </c>
      <c r="AD156" s="599">
        <f>MAX(IF(M156="Yes",'Assumption Inputs'!$C$40,'Assumption Inputs'!$C$41),AC156)</f>
        <v>6000000</v>
      </c>
      <c r="AE156" s="599">
        <f t="shared" si="291"/>
        <v>1896532.2014921685</v>
      </c>
      <c r="AF156" s="599">
        <f t="shared" si="235"/>
        <v>0</v>
      </c>
      <c r="AG156" s="599">
        <f t="shared" si="292"/>
        <v>0</v>
      </c>
      <c r="AH156" s="599">
        <f t="shared" si="293"/>
        <v>1896532.2014921685</v>
      </c>
      <c r="AI156" s="599">
        <v>9168402.1667584777</v>
      </c>
      <c r="AJ156" s="599">
        <v>8141345.3417481519</v>
      </c>
      <c r="AK156" s="602">
        <f t="shared" si="284"/>
        <v>0.88797864597016851</v>
      </c>
      <c r="AL156" s="603">
        <f t="shared" si="236"/>
        <v>0</v>
      </c>
      <c r="AM156" s="600">
        <f t="shared" si="285"/>
        <v>1896532.2014921685</v>
      </c>
      <c r="AN156" s="600">
        <f t="shared" si="237"/>
        <v>1896532.2014921685</v>
      </c>
      <c r="AO156" s="600">
        <f t="shared" si="238"/>
        <v>0</v>
      </c>
      <c r="AP156" s="600">
        <f t="shared" si="239"/>
        <v>1027056.8250103262</v>
      </c>
      <c r="AQ156" s="600">
        <f t="shared" si="286"/>
        <v>0</v>
      </c>
      <c r="AR156" s="600">
        <f t="shared" si="287"/>
        <v>1896532.2014921685</v>
      </c>
      <c r="AS156" s="604">
        <f t="shared" si="240"/>
        <v>0</v>
      </c>
      <c r="AT156" s="605">
        <f t="shared" si="241"/>
        <v>0</v>
      </c>
      <c r="AU156" s="600">
        <f t="shared" si="242"/>
        <v>1896532.2014921685</v>
      </c>
      <c r="AV156" s="600">
        <f t="shared" si="243"/>
        <v>1896532.2014921685</v>
      </c>
      <c r="AW156" s="600">
        <f t="shared" si="244"/>
        <v>0</v>
      </c>
      <c r="AX156" s="600">
        <f t="shared" si="245"/>
        <v>1027056.8250103262</v>
      </c>
      <c r="AY156" s="600">
        <f t="shared" si="246"/>
        <v>2.0207848269643732E-12</v>
      </c>
      <c r="AZ156" s="600">
        <f t="shared" si="247"/>
        <v>1896532.2014921685</v>
      </c>
      <c r="BA156" s="600">
        <f t="shared" si="248"/>
        <v>0</v>
      </c>
      <c r="BB156" s="600">
        <f t="shared" si="249"/>
        <v>0</v>
      </c>
      <c r="BC156" s="600">
        <f t="shared" si="250"/>
        <v>0</v>
      </c>
      <c r="BD156" s="600">
        <f t="shared" si="251"/>
        <v>0</v>
      </c>
      <c r="BE156" s="600">
        <f t="shared" si="252"/>
        <v>1027056.8250103262</v>
      </c>
      <c r="BF156" s="600">
        <f t="shared" si="253"/>
        <v>1896532.2014921685</v>
      </c>
      <c r="BG156" s="600">
        <v>0</v>
      </c>
      <c r="BH156" s="600">
        <v>0</v>
      </c>
      <c r="BI156" s="600">
        <f t="shared" si="254"/>
        <v>0</v>
      </c>
      <c r="BJ156" s="600">
        <f t="shared" si="255"/>
        <v>1896532.2</v>
      </c>
      <c r="BK156" s="600">
        <f t="shared" si="256"/>
        <v>666251.76185999985</v>
      </c>
      <c r="BL156" s="600">
        <v>1896532.2</v>
      </c>
      <c r="BM156" s="600">
        <f t="shared" si="257"/>
        <v>0</v>
      </c>
      <c r="BN156" s="600">
        <f t="shared" si="258"/>
        <v>0</v>
      </c>
      <c r="BO156" s="600">
        <f t="shared" si="259"/>
        <v>0</v>
      </c>
      <c r="BP156" s="600">
        <f t="shared" si="260"/>
        <v>666251.76185999985</v>
      </c>
      <c r="BQ156" s="600">
        <f t="shared" si="261"/>
        <v>0</v>
      </c>
      <c r="BR156" s="600">
        <f t="shared" si="262"/>
        <v>0</v>
      </c>
      <c r="BT156" s="606">
        <f t="shared" si="263"/>
        <v>1</v>
      </c>
      <c r="BU156" s="607">
        <f t="shared" si="264"/>
        <v>0</v>
      </c>
      <c r="BV156" s="606">
        <f t="shared" si="265"/>
        <v>1</v>
      </c>
      <c r="BW156" s="607">
        <f t="shared" si="266"/>
        <v>0</v>
      </c>
      <c r="BX156" s="607">
        <f t="shared" si="267"/>
        <v>0</v>
      </c>
      <c r="BY156" s="607">
        <f t="shared" si="268"/>
        <v>0</v>
      </c>
      <c r="BZ156" s="607">
        <f t="shared" si="269"/>
        <v>0</v>
      </c>
      <c r="CA156" s="607">
        <f t="shared" si="270"/>
        <v>0</v>
      </c>
      <c r="CB156" s="607">
        <f t="shared" si="288"/>
        <v>0</v>
      </c>
      <c r="CC156" s="607">
        <f t="shared" si="271"/>
        <v>0</v>
      </c>
      <c r="CD156" s="607">
        <f t="shared" si="272"/>
        <v>0</v>
      </c>
      <c r="CE156" s="607">
        <f t="shared" si="273"/>
        <v>0</v>
      </c>
      <c r="CF156" s="607">
        <f t="shared" si="274"/>
        <v>0</v>
      </c>
      <c r="CG156" s="607">
        <f t="shared" si="275"/>
        <v>0</v>
      </c>
      <c r="CH156" s="607">
        <f t="shared" si="276"/>
        <v>1896532.2</v>
      </c>
      <c r="CI156" s="609"/>
      <c r="CK156" s="610" t="str">
        <f>IF(BJ156&lt;0, "Yes", "")</f>
        <v/>
      </c>
      <c r="CL156" s="611" t="str">
        <f>IF(CK156="","",COUNTIFS($CK$16:CK156,"Yes")+MAX(State!AD:AD))</f>
        <v/>
      </c>
      <c r="CM156" s="612" t="b">
        <f>IF(C156="", "", AND(INDEX('Summary Dynamic'!$D$8:$D$10, MATCH(H156, 'Summary Dynamic'!$C$8:$C$10, 0))="Include", INDEX('Summary Dynamic'!$D$12:$D$14, MATCH(I156, 'Summary Dynamic'!$C$12:$C$14, 0))="Include", INDEX('Summary Dynamic'!$D$16:$D$17, MATCH(J156, 'Summary Dynamic'!$C$16:$C$17, 0))="Include", INDEX('Summary Dynamic'!$D$19:$D$20, MATCH(K156, 'Summary Dynamic'!$C$19:$C$20, 0))="Include", INDEX('Summary Dynamic'!$D$25:$D$26, MATCH(L156, 'Summary Dynamic'!$C$25:$C$26, 0))="Include",'Summary Dynamic'!$D$23="Include"))</f>
        <v>1</v>
      </c>
      <c r="CN156" s="613">
        <f>IFERROR(IF(CM156=TRUE, COUNTIFS($CM$16:CM156, TRUE), ""), "")</f>
        <v>141</v>
      </c>
      <c r="CP156" s="614" t="str">
        <f t="shared" si="277"/>
        <v>Non-Rural Private</v>
      </c>
      <c r="CY156" s="615"/>
      <c r="CZ156" s="616"/>
    </row>
    <row r="157" spans="2:104" x14ac:dyDescent="0.25">
      <c r="B157" s="617">
        <f t="shared" si="278"/>
        <v>142</v>
      </c>
      <c r="C157" s="593" t="s">
        <v>942</v>
      </c>
      <c r="D157" s="594" t="s">
        <v>942</v>
      </c>
      <c r="E157" s="594" t="s">
        <v>943</v>
      </c>
      <c r="F157" s="407" t="s">
        <v>944</v>
      </c>
      <c r="G157" s="408" t="s">
        <v>318</v>
      </c>
      <c r="H157" s="408" t="s">
        <v>22</v>
      </c>
      <c r="I157" s="408" t="s">
        <v>26</v>
      </c>
      <c r="J157" s="408" t="s">
        <v>35</v>
      </c>
      <c r="K157" s="408" t="s">
        <v>35</v>
      </c>
      <c r="L157" s="408" t="s">
        <v>35</v>
      </c>
      <c r="M157" s="408" t="s">
        <v>35</v>
      </c>
      <c r="N157" s="595" t="str">
        <f t="shared" si="232"/>
        <v>No</v>
      </c>
      <c r="O157" s="596">
        <v>5048</v>
      </c>
      <c r="P157" s="596">
        <v>22853</v>
      </c>
      <c r="Q157" s="597">
        <v>0.18976791021985603</v>
      </c>
      <c r="R157" s="596">
        <f t="shared" si="279"/>
        <v>4336.7660522543702</v>
      </c>
      <c r="S157" s="596">
        <f t="shared" si="280"/>
        <v>9384.7660522543702</v>
      </c>
      <c r="T157" s="596">
        <f t="shared" si="233"/>
        <v>9384.7660522543702</v>
      </c>
      <c r="U157" s="598">
        <f t="shared" si="281"/>
        <v>2.1955877742892587E-3</v>
      </c>
      <c r="V157" s="599">
        <f t="shared" si="290"/>
        <v>0</v>
      </c>
      <c r="W157" s="600">
        <v>11299124.467542537</v>
      </c>
      <c r="X157" s="600">
        <v>0</v>
      </c>
      <c r="Y157" s="600">
        <v>5385124.6822668919</v>
      </c>
      <c r="Z157" s="600">
        <f t="shared" si="282"/>
        <v>0</v>
      </c>
      <c r="AA157" s="600">
        <f t="shared" si="283"/>
        <v>11299124.467542537</v>
      </c>
      <c r="AB157" s="601">
        <f t="shared" si="234"/>
        <v>0</v>
      </c>
      <c r="AC157" s="599">
        <v>0</v>
      </c>
      <c r="AD157" s="599">
        <f>MAX(IF(M157="Yes",'Assumption Inputs'!$C$40,'Assumption Inputs'!$C$41),AC157)</f>
        <v>6000000</v>
      </c>
      <c r="AE157" s="599">
        <f t="shared" si="291"/>
        <v>6000000</v>
      </c>
      <c r="AF157" s="599">
        <f t="shared" si="235"/>
        <v>0</v>
      </c>
      <c r="AG157" s="599">
        <f t="shared" si="292"/>
        <v>0</v>
      </c>
      <c r="AH157" s="599">
        <f t="shared" si="293"/>
        <v>6000000</v>
      </c>
      <c r="AI157" s="599">
        <v>32834947.184063569</v>
      </c>
      <c r="AJ157" s="599">
        <v>27535822.716521032</v>
      </c>
      <c r="AK157" s="602">
        <f t="shared" si="284"/>
        <v>0.83861327877772662</v>
      </c>
      <c r="AL157" s="603">
        <f t="shared" si="236"/>
        <v>0</v>
      </c>
      <c r="AM157" s="600">
        <f t="shared" si="285"/>
        <v>6000000</v>
      </c>
      <c r="AN157" s="600">
        <f t="shared" si="237"/>
        <v>6000000</v>
      </c>
      <c r="AO157" s="600">
        <f t="shared" si="238"/>
        <v>0</v>
      </c>
      <c r="AP157" s="600">
        <f t="shared" si="239"/>
        <v>5299124.4675425366</v>
      </c>
      <c r="AQ157" s="600">
        <f t="shared" si="286"/>
        <v>0</v>
      </c>
      <c r="AR157" s="600">
        <f t="shared" si="287"/>
        <v>6000000</v>
      </c>
      <c r="AS157" s="604">
        <f t="shared" si="240"/>
        <v>0</v>
      </c>
      <c r="AT157" s="605">
        <f t="shared" si="241"/>
        <v>0</v>
      </c>
      <c r="AU157" s="600">
        <f t="shared" si="242"/>
        <v>6000000</v>
      </c>
      <c r="AV157" s="600">
        <f t="shared" si="243"/>
        <v>6000000</v>
      </c>
      <c r="AW157" s="600">
        <f t="shared" si="244"/>
        <v>0</v>
      </c>
      <c r="AX157" s="600">
        <f t="shared" si="245"/>
        <v>5299124.4675425366</v>
      </c>
      <c r="AY157" s="600">
        <f t="shared" si="246"/>
        <v>1.0426288068430835E-11</v>
      </c>
      <c r="AZ157" s="600">
        <f t="shared" si="247"/>
        <v>6000000</v>
      </c>
      <c r="BA157" s="600">
        <f t="shared" si="248"/>
        <v>0</v>
      </c>
      <c r="BB157" s="600">
        <f t="shared" si="249"/>
        <v>0</v>
      </c>
      <c r="BC157" s="600">
        <f t="shared" si="250"/>
        <v>0</v>
      </c>
      <c r="BD157" s="600">
        <f t="shared" si="251"/>
        <v>0</v>
      </c>
      <c r="BE157" s="600">
        <f t="shared" si="252"/>
        <v>5299124.4675425366</v>
      </c>
      <c r="BF157" s="600">
        <f t="shared" si="253"/>
        <v>6000000</v>
      </c>
      <c r="BG157" s="600">
        <v>0</v>
      </c>
      <c r="BH157" s="600">
        <v>0</v>
      </c>
      <c r="BI157" s="600">
        <f t="shared" si="254"/>
        <v>0</v>
      </c>
      <c r="BJ157" s="600">
        <f t="shared" si="255"/>
        <v>6000000</v>
      </c>
      <c r="BK157" s="600">
        <f t="shared" si="256"/>
        <v>2107799.9999999995</v>
      </c>
      <c r="BL157" s="600">
        <v>6000000</v>
      </c>
      <c r="BM157" s="600">
        <f t="shared" si="257"/>
        <v>0</v>
      </c>
      <c r="BN157" s="600">
        <f t="shared" si="258"/>
        <v>0</v>
      </c>
      <c r="BO157" s="600">
        <f t="shared" si="259"/>
        <v>0</v>
      </c>
      <c r="BP157" s="600">
        <f t="shared" si="260"/>
        <v>2107799.9999999995</v>
      </c>
      <c r="BQ157" s="600">
        <f t="shared" si="261"/>
        <v>0</v>
      </c>
      <c r="BR157" s="600">
        <f t="shared" si="262"/>
        <v>0</v>
      </c>
      <c r="BT157" s="606">
        <f t="shared" si="263"/>
        <v>1</v>
      </c>
      <c r="BU157" s="607">
        <f t="shared" si="264"/>
        <v>0</v>
      </c>
      <c r="BV157" s="606">
        <f t="shared" si="265"/>
        <v>1</v>
      </c>
      <c r="BW157" s="607">
        <f t="shared" si="266"/>
        <v>0</v>
      </c>
      <c r="BX157" s="607">
        <f t="shared" si="267"/>
        <v>0</v>
      </c>
      <c r="BY157" s="607">
        <f t="shared" si="268"/>
        <v>0</v>
      </c>
      <c r="BZ157" s="607">
        <f t="shared" si="269"/>
        <v>0</v>
      </c>
      <c r="CA157" s="607">
        <f t="shared" si="270"/>
        <v>0</v>
      </c>
      <c r="CB157" s="607">
        <f t="shared" si="288"/>
        <v>0</v>
      </c>
      <c r="CC157" s="607">
        <f t="shared" si="271"/>
        <v>0</v>
      </c>
      <c r="CD157" s="607">
        <f t="shared" si="272"/>
        <v>0</v>
      </c>
      <c r="CE157" s="607">
        <f t="shared" si="273"/>
        <v>0</v>
      </c>
      <c r="CF157" s="607">
        <f t="shared" ref="CF157:CF164" si="294">ROUND((CE157/$CE$9)*((Pass_3_Set_Aside)-$CA$9)*$CF$4*Federal_Match_Rate,2)</f>
        <v>0</v>
      </c>
      <c r="CG157" s="607">
        <f t="shared" ref="CG157:CG164" si="295">($CF$9/Federal_Match_Rate*State_Match_Rate)*AB157</f>
        <v>0</v>
      </c>
      <c r="CH157" s="607">
        <f t="shared" si="276"/>
        <v>6000000</v>
      </c>
      <c r="CI157" s="609"/>
      <c r="CK157" s="610" t="str">
        <f t="shared" si="289"/>
        <v/>
      </c>
      <c r="CL157" s="611" t="str">
        <f>IF(CK157="","",COUNTIFS($CK$16:CK157,"Yes")+MAX(State!AD:AD))</f>
        <v/>
      </c>
      <c r="CM157" s="612" t="b">
        <f>IF(C157="", "", AND(INDEX('Summary Dynamic'!$D$8:$D$10, MATCH(H157, 'Summary Dynamic'!$C$8:$C$10, 0))="Include", INDEX('Summary Dynamic'!$D$12:$D$14, MATCH(I157, 'Summary Dynamic'!$C$12:$C$14, 0))="Include", INDEX('Summary Dynamic'!$D$16:$D$17, MATCH(J157, 'Summary Dynamic'!$C$16:$C$17, 0))="Include", INDEX('Summary Dynamic'!$D$19:$D$20, MATCH(K157, 'Summary Dynamic'!$C$19:$C$20, 0))="Include", INDEX('Summary Dynamic'!$D$25:$D$26, MATCH(L157, 'Summary Dynamic'!$C$25:$C$26, 0))="Include",'Summary Dynamic'!$D$23="Include"))</f>
        <v>1</v>
      </c>
      <c r="CN157" s="613">
        <f>IFERROR(IF(CM157=TRUE, COUNTIFS($CM$16:CM157, TRUE), ""), "")</f>
        <v>142</v>
      </c>
      <c r="CP157" s="614" t="str">
        <f t="shared" si="277"/>
        <v>Non-Rural Private</v>
      </c>
      <c r="CY157" s="615"/>
      <c r="CZ157" s="616"/>
    </row>
    <row r="158" spans="2:104" x14ac:dyDescent="0.25">
      <c r="B158" s="617">
        <f t="shared" si="278"/>
        <v>143</v>
      </c>
      <c r="C158" s="593" t="s">
        <v>945</v>
      </c>
      <c r="D158" s="594" t="s">
        <v>945</v>
      </c>
      <c r="E158" s="594" t="s">
        <v>946</v>
      </c>
      <c r="F158" s="407" t="s">
        <v>947</v>
      </c>
      <c r="G158" s="408" t="s">
        <v>948</v>
      </c>
      <c r="H158" s="408" t="s">
        <v>22</v>
      </c>
      <c r="I158" s="408" t="s">
        <v>28</v>
      </c>
      <c r="J158" s="408" t="s">
        <v>31</v>
      </c>
      <c r="K158" s="408" t="s">
        <v>35</v>
      </c>
      <c r="L158" s="408" t="s">
        <v>35</v>
      </c>
      <c r="M158" s="408" t="s">
        <v>35</v>
      </c>
      <c r="N158" s="595" t="str">
        <f t="shared" si="232"/>
        <v>Yes</v>
      </c>
      <c r="O158" s="596">
        <v>240</v>
      </c>
      <c r="P158" s="596">
        <v>1599</v>
      </c>
      <c r="Q158" s="597">
        <v>6.1295032393174118E-2</v>
      </c>
      <c r="R158" s="596">
        <f t="shared" si="279"/>
        <v>98.010756796685413</v>
      </c>
      <c r="S158" s="596">
        <f t="shared" si="280"/>
        <v>338.01075679668543</v>
      </c>
      <c r="T158" s="596">
        <f t="shared" si="233"/>
        <v>456.75393565936099</v>
      </c>
      <c r="U158" s="598">
        <f t="shared" si="281"/>
        <v>1.0685864212366771E-4</v>
      </c>
      <c r="V158" s="599">
        <f t="shared" si="290"/>
        <v>0</v>
      </c>
      <c r="W158" s="600">
        <v>1646459.0241073098</v>
      </c>
      <c r="X158" s="600">
        <v>0</v>
      </c>
      <c r="Y158" s="600">
        <v>1125038.2331606273</v>
      </c>
      <c r="Z158" s="600">
        <f t="shared" si="282"/>
        <v>0</v>
      </c>
      <c r="AA158" s="600">
        <f t="shared" si="283"/>
        <v>1646459.0241073098</v>
      </c>
      <c r="AB158" s="601">
        <f t="shared" si="234"/>
        <v>0</v>
      </c>
      <c r="AC158" s="599">
        <v>427441.12769206136</v>
      </c>
      <c r="AD158" s="599">
        <f>MAX(IF(M158="Yes",'Assumption Inputs'!$C$40,'Assumption Inputs'!$C$41),AC158)</f>
        <v>6000000</v>
      </c>
      <c r="AE158" s="599">
        <f t="shared" si="291"/>
        <v>1068057.9689384119</v>
      </c>
      <c r="AF158" s="599">
        <f t="shared" si="235"/>
        <v>578401.05516889784</v>
      </c>
      <c r="AG158" s="599">
        <f t="shared" si="292"/>
        <v>0</v>
      </c>
      <c r="AH158" s="599">
        <f t="shared" si="293"/>
        <v>1646459.0241073098</v>
      </c>
      <c r="AI158" s="599">
        <v>2927304.5993877407</v>
      </c>
      <c r="AJ158" s="599">
        <v>2927304.5993877407</v>
      </c>
      <c r="AK158" s="602">
        <f t="shared" si="284"/>
        <v>1</v>
      </c>
      <c r="AL158" s="603">
        <f t="shared" si="236"/>
        <v>0</v>
      </c>
      <c r="AM158" s="600">
        <f t="shared" si="285"/>
        <v>1068057.9689384119</v>
      </c>
      <c r="AN158" s="600">
        <f t="shared" si="237"/>
        <v>1068057.9689384119</v>
      </c>
      <c r="AO158" s="600">
        <f t="shared" si="238"/>
        <v>0</v>
      </c>
      <c r="AP158" s="600">
        <f t="shared" si="239"/>
        <v>578401.05516889784</v>
      </c>
      <c r="AQ158" s="600">
        <f t="shared" si="286"/>
        <v>0</v>
      </c>
      <c r="AR158" s="600">
        <f t="shared" si="287"/>
        <v>1068057.9689384119</v>
      </c>
      <c r="AS158" s="604">
        <f t="shared" si="240"/>
        <v>578401.05516889784</v>
      </c>
      <c r="AT158" s="605">
        <f t="shared" si="241"/>
        <v>0</v>
      </c>
      <c r="AU158" s="600">
        <f t="shared" si="242"/>
        <v>1646459.0241073098</v>
      </c>
      <c r="AV158" s="600">
        <f t="shared" si="243"/>
        <v>1646459.0241073098</v>
      </c>
      <c r="AW158" s="600">
        <f t="shared" si="244"/>
        <v>0</v>
      </c>
      <c r="AX158" s="600">
        <f t="shared" si="245"/>
        <v>0</v>
      </c>
      <c r="AY158" s="600">
        <f t="shared" si="246"/>
        <v>0</v>
      </c>
      <c r="AZ158" s="600">
        <f t="shared" si="247"/>
        <v>1646459.0241073098</v>
      </c>
      <c r="BA158" s="600">
        <f t="shared" si="248"/>
        <v>0</v>
      </c>
      <c r="BB158" s="600">
        <f t="shared" si="249"/>
        <v>0</v>
      </c>
      <c r="BC158" s="600">
        <f t="shared" si="250"/>
        <v>0</v>
      </c>
      <c r="BD158" s="600">
        <f t="shared" si="251"/>
        <v>578401.05516889784</v>
      </c>
      <c r="BE158" s="600">
        <f t="shared" si="252"/>
        <v>0</v>
      </c>
      <c r="BF158" s="600">
        <f t="shared" si="253"/>
        <v>1068057.9689384119</v>
      </c>
      <c r="BG158" s="600">
        <v>0</v>
      </c>
      <c r="BH158" s="600">
        <v>0</v>
      </c>
      <c r="BI158" s="600">
        <f t="shared" si="254"/>
        <v>0</v>
      </c>
      <c r="BJ158" s="600">
        <f t="shared" si="255"/>
        <v>1646459.02</v>
      </c>
      <c r="BK158" s="600">
        <f t="shared" si="256"/>
        <v>578401.0537259999</v>
      </c>
      <c r="BL158" s="600">
        <v>1646459.02</v>
      </c>
      <c r="BM158" s="600">
        <f t="shared" si="257"/>
        <v>0</v>
      </c>
      <c r="BN158" s="600">
        <f t="shared" si="258"/>
        <v>0</v>
      </c>
      <c r="BO158" s="600">
        <f t="shared" si="259"/>
        <v>578401.06000000006</v>
      </c>
      <c r="BP158" s="600">
        <f t="shared" si="260"/>
        <v>578401.0537259999</v>
      </c>
      <c r="BQ158" s="600">
        <f t="shared" si="261"/>
        <v>0</v>
      </c>
      <c r="BR158" s="600">
        <f t="shared" si="262"/>
        <v>578401.05000000005</v>
      </c>
      <c r="BT158" s="606">
        <f t="shared" si="263"/>
        <v>1.5624488207835849</v>
      </c>
      <c r="BU158" s="607">
        <f t="shared" si="264"/>
        <v>0</v>
      </c>
      <c r="BV158" s="606">
        <f t="shared" si="265"/>
        <v>1</v>
      </c>
      <c r="BW158" s="607">
        <f t="shared" si="266"/>
        <v>0</v>
      </c>
      <c r="BX158" s="607">
        <f t="shared" si="267"/>
        <v>0</v>
      </c>
      <c r="BY158" s="607">
        <f t="shared" si="268"/>
        <v>0</v>
      </c>
      <c r="BZ158" s="607">
        <f t="shared" si="269"/>
        <v>0</v>
      </c>
      <c r="CA158" s="607">
        <f t="shared" si="270"/>
        <v>0</v>
      </c>
      <c r="CB158" s="607">
        <f t="shared" si="288"/>
        <v>0</v>
      </c>
      <c r="CC158" s="607">
        <f t="shared" si="271"/>
        <v>0</v>
      </c>
      <c r="CD158" s="607">
        <f t="shared" si="272"/>
        <v>0</v>
      </c>
      <c r="CE158" s="607">
        <f t="shared" si="273"/>
        <v>0</v>
      </c>
      <c r="CF158" s="607">
        <f t="shared" si="294"/>
        <v>0</v>
      </c>
      <c r="CG158" s="607">
        <f t="shared" si="295"/>
        <v>0</v>
      </c>
      <c r="CH158" s="607">
        <f t="shared" si="276"/>
        <v>1646459.02</v>
      </c>
      <c r="CI158" s="609"/>
      <c r="CK158" s="610" t="str">
        <f t="shared" si="289"/>
        <v/>
      </c>
      <c r="CL158" s="611" t="str">
        <f>IF(CK158="","",COUNTIFS($CK$16:CK158,"Yes")+MAX(State!AD:AD))</f>
        <v/>
      </c>
      <c r="CM158" s="612" t="b">
        <f>IF(C158="", "", AND(INDEX('Summary Dynamic'!$D$8:$D$10, MATCH(H158, 'Summary Dynamic'!$C$8:$C$10, 0))="Include", INDEX('Summary Dynamic'!$D$12:$D$14, MATCH(I158, 'Summary Dynamic'!$C$12:$C$14, 0))="Include", INDEX('Summary Dynamic'!$D$16:$D$17, MATCH(J158, 'Summary Dynamic'!$C$16:$C$17, 0))="Include", INDEX('Summary Dynamic'!$D$19:$D$20, MATCH(K158, 'Summary Dynamic'!$C$19:$C$20, 0))="Include", INDEX('Summary Dynamic'!$D$25:$D$26, MATCH(L158, 'Summary Dynamic'!$C$25:$C$26, 0))="Include",'Summary Dynamic'!$D$23="Include"))</f>
        <v>1</v>
      </c>
      <c r="CN158" s="613">
        <f>IFERROR(IF(CM158=TRUE, COUNTIFS($CM$16:CM158, TRUE), ""), "")</f>
        <v>143</v>
      </c>
      <c r="CP158" s="614" t="str">
        <f t="shared" si="277"/>
        <v>Rural Public</v>
      </c>
      <c r="CY158" s="615"/>
      <c r="CZ158" s="616"/>
    </row>
    <row r="159" spans="2:104" x14ac:dyDescent="0.25">
      <c r="B159" s="617">
        <f t="shared" si="278"/>
        <v>144</v>
      </c>
      <c r="C159" s="593" t="s">
        <v>949</v>
      </c>
      <c r="D159" s="594" t="s">
        <v>949</v>
      </c>
      <c r="E159" s="594" t="s">
        <v>950</v>
      </c>
      <c r="F159" s="407" t="s">
        <v>951</v>
      </c>
      <c r="G159" s="408" t="s">
        <v>306</v>
      </c>
      <c r="H159" s="408" t="s">
        <v>22</v>
      </c>
      <c r="I159" s="408" t="s">
        <v>26</v>
      </c>
      <c r="J159" s="408" t="s">
        <v>31</v>
      </c>
      <c r="K159" s="408" t="s">
        <v>35</v>
      </c>
      <c r="L159" s="408" t="s">
        <v>35</v>
      </c>
      <c r="M159" s="408" t="s">
        <v>35</v>
      </c>
      <c r="N159" s="595" t="str">
        <f t="shared" si="232"/>
        <v>No</v>
      </c>
      <c r="O159" s="596">
        <v>1142</v>
      </c>
      <c r="P159" s="596">
        <v>9526</v>
      </c>
      <c r="Q159" s="597">
        <v>0.14858763294450081</v>
      </c>
      <c r="R159" s="596">
        <f t="shared" si="279"/>
        <v>1415.4457914293148</v>
      </c>
      <c r="S159" s="596">
        <f t="shared" si="280"/>
        <v>2557.4457914293148</v>
      </c>
      <c r="T159" s="596">
        <f t="shared" si="233"/>
        <v>2557.4457914293148</v>
      </c>
      <c r="U159" s="598">
        <f t="shared" si="281"/>
        <v>5.9832037173914267E-4</v>
      </c>
      <c r="V159" s="599">
        <f t="shared" si="290"/>
        <v>0</v>
      </c>
      <c r="W159" s="600">
        <v>7765596.4491742253</v>
      </c>
      <c r="X159" s="600">
        <v>0</v>
      </c>
      <c r="Y159" s="600">
        <v>3388192.9867010838</v>
      </c>
      <c r="Z159" s="600">
        <f t="shared" si="282"/>
        <v>0</v>
      </c>
      <c r="AA159" s="600">
        <f t="shared" si="283"/>
        <v>7765596.4491742253</v>
      </c>
      <c r="AB159" s="601">
        <f t="shared" si="234"/>
        <v>0</v>
      </c>
      <c r="AC159" s="599">
        <v>313036.79834660405</v>
      </c>
      <c r="AD159" s="599">
        <f>MAX(IF(M159="Yes",'Assumption Inputs'!$C$40,'Assumption Inputs'!$C$41),AC159)</f>
        <v>6000000</v>
      </c>
      <c r="AE159" s="599">
        <f t="shared" si="291"/>
        <v>5037542.416579321</v>
      </c>
      <c r="AF159" s="599">
        <f t="shared" si="235"/>
        <v>0</v>
      </c>
      <c r="AG159" s="599">
        <f t="shared" si="292"/>
        <v>0</v>
      </c>
      <c r="AH159" s="599">
        <f t="shared" si="293"/>
        <v>5037542.416579321</v>
      </c>
      <c r="AI159" s="599">
        <v>14035985.529217683</v>
      </c>
      <c r="AJ159" s="599">
        <v>11307931.49662278</v>
      </c>
      <c r="AK159" s="602">
        <f t="shared" si="284"/>
        <v>0.80563858327467552</v>
      </c>
      <c r="AL159" s="603">
        <f t="shared" si="236"/>
        <v>0</v>
      </c>
      <c r="AM159" s="600">
        <f t="shared" si="285"/>
        <v>5037542.416579321</v>
      </c>
      <c r="AN159" s="600">
        <f t="shared" si="237"/>
        <v>5037542.416579321</v>
      </c>
      <c r="AO159" s="600">
        <f t="shared" si="238"/>
        <v>0</v>
      </c>
      <c r="AP159" s="600">
        <f t="shared" si="239"/>
        <v>2728054.0325949043</v>
      </c>
      <c r="AQ159" s="600">
        <f t="shared" si="286"/>
        <v>0</v>
      </c>
      <c r="AR159" s="600">
        <f t="shared" si="287"/>
        <v>5037542.416579321</v>
      </c>
      <c r="AS159" s="604">
        <f t="shared" si="240"/>
        <v>0</v>
      </c>
      <c r="AT159" s="605">
        <f t="shared" si="241"/>
        <v>0</v>
      </c>
      <c r="AU159" s="600">
        <f t="shared" si="242"/>
        <v>5037542.416579321</v>
      </c>
      <c r="AV159" s="600">
        <f t="shared" si="243"/>
        <v>5037542.416579321</v>
      </c>
      <c r="AW159" s="600">
        <f t="shared" si="244"/>
        <v>0</v>
      </c>
      <c r="AX159" s="600">
        <f t="shared" si="245"/>
        <v>2728054.0325949043</v>
      </c>
      <c r="AY159" s="600">
        <f t="shared" si="246"/>
        <v>5.3675805096288887E-12</v>
      </c>
      <c r="AZ159" s="600">
        <f t="shared" si="247"/>
        <v>5037542.416579321</v>
      </c>
      <c r="BA159" s="600">
        <f t="shared" si="248"/>
        <v>0</v>
      </c>
      <c r="BB159" s="600">
        <f t="shared" si="249"/>
        <v>0</v>
      </c>
      <c r="BC159" s="600">
        <f t="shared" si="250"/>
        <v>0</v>
      </c>
      <c r="BD159" s="600">
        <f t="shared" si="251"/>
        <v>0</v>
      </c>
      <c r="BE159" s="600">
        <f t="shared" si="252"/>
        <v>2728054.0325949043</v>
      </c>
      <c r="BF159" s="600">
        <f t="shared" si="253"/>
        <v>5037542.416579321</v>
      </c>
      <c r="BG159" s="600">
        <v>0</v>
      </c>
      <c r="BH159" s="600">
        <v>0</v>
      </c>
      <c r="BI159" s="600">
        <f t="shared" si="254"/>
        <v>0</v>
      </c>
      <c r="BJ159" s="600">
        <f t="shared" si="255"/>
        <v>5037542.42</v>
      </c>
      <c r="BK159" s="600">
        <f t="shared" si="256"/>
        <v>1769688.6521459997</v>
      </c>
      <c r="BL159" s="600">
        <v>5037542.42</v>
      </c>
      <c r="BM159" s="600">
        <f t="shared" si="257"/>
        <v>0</v>
      </c>
      <c r="BN159" s="600">
        <f t="shared" si="258"/>
        <v>0</v>
      </c>
      <c r="BO159" s="600">
        <f t="shared" si="259"/>
        <v>0</v>
      </c>
      <c r="BP159" s="600">
        <f t="shared" si="260"/>
        <v>1769688.6521459997</v>
      </c>
      <c r="BQ159" s="600">
        <f t="shared" si="261"/>
        <v>0</v>
      </c>
      <c r="BR159" s="600">
        <f t="shared" si="262"/>
        <v>0</v>
      </c>
      <c r="BT159" s="606">
        <f t="shared" si="263"/>
        <v>1</v>
      </c>
      <c r="BU159" s="607">
        <f t="shared" si="264"/>
        <v>0</v>
      </c>
      <c r="BV159" s="606">
        <f t="shared" si="265"/>
        <v>1.1645405221170686</v>
      </c>
      <c r="BW159" s="607">
        <f t="shared" si="266"/>
        <v>0</v>
      </c>
      <c r="BX159" s="607">
        <f t="shared" si="267"/>
        <v>0</v>
      </c>
      <c r="BY159" s="607">
        <f t="shared" si="268"/>
        <v>0</v>
      </c>
      <c r="BZ159" s="607">
        <f t="shared" si="269"/>
        <v>0</v>
      </c>
      <c r="CA159" s="607">
        <f t="shared" si="270"/>
        <v>0</v>
      </c>
      <c r="CB159" s="607">
        <f t="shared" si="288"/>
        <v>0</v>
      </c>
      <c r="CC159" s="607">
        <f t="shared" si="271"/>
        <v>958365.38165058976</v>
      </c>
      <c r="CD159" s="607">
        <f t="shared" si="272"/>
        <v>2728054.0325949043</v>
      </c>
      <c r="CE159" s="607">
        <f t="shared" si="273"/>
        <v>2728054.0325949043</v>
      </c>
      <c r="CF159" s="607">
        <f t="shared" si="294"/>
        <v>1314848.3</v>
      </c>
      <c r="CG159" s="607">
        <f t="shared" si="295"/>
        <v>0</v>
      </c>
      <c r="CH159" s="607">
        <f t="shared" si="276"/>
        <v>6352390.7199999997</v>
      </c>
      <c r="CI159" s="609"/>
      <c r="CK159" s="610" t="str">
        <f t="shared" si="289"/>
        <v/>
      </c>
      <c r="CL159" s="611" t="str">
        <f>IF(CK159="","",COUNTIFS($CK$16:CK159,"Yes")+MAX(State!AD:AD))</f>
        <v/>
      </c>
      <c r="CM159" s="612" t="b">
        <f>IF(C159="", "", AND(INDEX('Summary Dynamic'!$D$8:$D$10, MATCH(H159, 'Summary Dynamic'!$C$8:$C$10, 0))="Include", INDEX('Summary Dynamic'!$D$12:$D$14, MATCH(I159, 'Summary Dynamic'!$C$12:$C$14, 0))="Include", INDEX('Summary Dynamic'!$D$16:$D$17, MATCH(J159, 'Summary Dynamic'!$C$16:$C$17, 0))="Include", INDEX('Summary Dynamic'!$D$19:$D$20, MATCH(K159, 'Summary Dynamic'!$C$19:$C$20, 0))="Include", INDEX('Summary Dynamic'!$D$25:$D$26, MATCH(L159, 'Summary Dynamic'!$C$25:$C$26, 0))="Include",'Summary Dynamic'!$D$23="Include"))</f>
        <v>1</v>
      </c>
      <c r="CN159" s="613">
        <f>IFERROR(IF(CM159=TRUE, COUNTIFS($CM$16:CM159, TRUE), ""), "")</f>
        <v>144</v>
      </c>
      <c r="CP159" s="614" t="str">
        <f t="shared" si="277"/>
        <v>Rural Private</v>
      </c>
      <c r="CY159" s="615"/>
      <c r="CZ159" s="616"/>
    </row>
    <row r="160" spans="2:104" x14ac:dyDescent="0.25">
      <c r="B160" s="617">
        <f t="shared" si="278"/>
        <v>145</v>
      </c>
      <c r="C160" s="593" t="s">
        <v>952</v>
      </c>
      <c r="D160" s="594" t="s">
        <v>952</v>
      </c>
      <c r="E160" s="594" t="s">
        <v>953</v>
      </c>
      <c r="F160" s="407" t="s">
        <v>954</v>
      </c>
      <c r="G160" s="408" t="s">
        <v>485</v>
      </c>
      <c r="H160" s="408" t="s">
        <v>22</v>
      </c>
      <c r="I160" s="408" t="s">
        <v>26</v>
      </c>
      <c r="J160" s="408" t="s">
        <v>35</v>
      </c>
      <c r="K160" s="408" t="s">
        <v>35</v>
      </c>
      <c r="L160" s="408" t="s">
        <v>37</v>
      </c>
      <c r="M160" s="408" t="s">
        <v>35</v>
      </c>
      <c r="N160" s="595" t="str">
        <f t="shared" si="232"/>
        <v>No</v>
      </c>
      <c r="O160" s="596">
        <v>9309</v>
      </c>
      <c r="P160" s="596">
        <v>19668</v>
      </c>
      <c r="Q160" s="597">
        <v>0.44991547929283104</v>
      </c>
      <c r="R160" s="596">
        <f t="shared" si="279"/>
        <v>8848.9376467314014</v>
      </c>
      <c r="S160" s="596">
        <f t="shared" si="280"/>
        <v>18157.9376467314</v>
      </c>
      <c r="T160" s="596">
        <f t="shared" si="233"/>
        <v>18157.9376467314</v>
      </c>
      <c r="U160" s="598">
        <f t="shared" si="281"/>
        <v>4.2480916073441557E-3</v>
      </c>
      <c r="V160" s="599">
        <f t="shared" si="290"/>
        <v>0</v>
      </c>
      <c r="W160" s="600">
        <v>1224641.51129968</v>
      </c>
      <c r="X160" s="600">
        <v>0</v>
      </c>
      <c r="Y160" s="600">
        <v>0</v>
      </c>
      <c r="Z160" s="600">
        <f t="shared" si="282"/>
        <v>0</v>
      </c>
      <c r="AA160" s="600">
        <f t="shared" si="283"/>
        <v>1224641.51129968</v>
      </c>
      <c r="AB160" s="601">
        <f t="shared" si="234"/>
        <v>0</v>
      </c>
      <c r="AC160" s="599">
        <v>785534.79904589895</v>
      </c>
      <c r="AD160" s="599">
        <f>MAX(IF(M160="Yes",'Assumption Inputs'!$C$40,'Assumption Inputs'!$C$41),AC160)</f>
        <v>6000000</v>
      </c>
      <c r="AE160" s="599">
        <f t="shared" si="291"/>
        <v>794424.94838010252</v>
      </c>
      <c r="AF160" s="599">
        <f t="shared" si="235"/>
        <v>0</v>
      </c>
      <c r="AG160" s="599">
        <f t="shared" si="292"/>
        <v>0</v>
      </c>
      <c r="AH160" s="599">
        <f t="shared" si="293"/>
        <v>794424.94838010252</v>
      </c>
      <c r="AI160" s="599">
        <v>7027227.2790539814</v>
      </c>
      <c r="AJ160" s="599">
        <v>6597010.7161344038</v>
      </c>
      <c r="AK160" s="602">
        <f t="shared" si="284"/>
        <v>0.93877861838880294</v>
      </c>
      <c r="AL160" s="603">
        <f t="shared" si="236"/>
        <v>0</v>
      </c>
      <c r="AM160" s="600">
        <f t="shared" si="285"/>
        <v>794424.94838010252</v>
      </c>
      <c r="AN160" s="600">
        <f t="shared" si="237"/>
        <v>794424.94838010252</v>
      </c>
      <c r="AO160" s="600">
        <f t="shared" si="238"/>
        <v>0</v>
      </c>
      <c r="AP160" s="600">
        <f t="shared" si="239"/>
        <v>430216.56291957747</v>
      </c>
      <c r="AQ160" s="600">
        <f t="shared" si="286"/>
        <v>0</v>
      </c>
      <c r="AR160" s="600">
        <f t="shared" si="287"/>
        <v>794424.94838010252</v>
      </c>
      <c r="AS160" s="604">
        <f t="shared" si="240"/>
        <v>0</v>
      </c>
      <c r="AT160" s="605">
        <f t="shared" si="241"/>
        <v>0</v>
      </c>
      <c r="AU160" s="600">
        <f t="shared" si="242"/>
        <v>794424.94838010252</v>
      </c>
      <c r="AV160" s="600">
        <f t="shared" si="243"/>
        <v>794424.94838010252</v>
      </c>
      <c r="AW160" s="600">
        <f t="shared" si="244"/>
        <v>0</v>
      </c>
      <c r="AX160" s="600">
        <f t="shared" si="245"/>
        <v>430216.56291957747</v>
      </c>
      <c r="AY160" s="600">
        <f t="shared" si="246"/>
        <v>8.4647225108299633E-13</v>
      </c>
      <c r="AZ160" s="600">
        <f t="shared" si="247"/>
        <v>794424.94838010252</v>
      </c>
      <c r="BA160" s="600">
        <f t="shared" si="248"/>
        <v>0</v>
      </c>
      <c r="BB160" s="600">
        <f t="shared" si="249"/>
        <v>0</v>
      </c>
      <c r="BC160" s="600">
        <f t="shared" si="250"/>
        <v>0</v>
      </c>
      <c r="BD160" s="600">
        <f t="shared" si="251"/>
        <v>0</v>
      </c>
      <c r="BE160" s="600">
        <f t="shared" si="252"/>
        <v>430216.56291957747</v>
      </c>
      <c r="BF160" s="600">
        <f t="shared" si="253"/>
        <v>794424.94838010252</v>
      </c>
      <c r="BG160" s="600">
        <v>0</v>
      </c>
      <c r="BH160" s="600">
        <v>0</v>
      </c>
      <c r="BI160" s="600">
        <f t="shared" si="254"/>
        <v>0</v>
      </c>
      <c r="BJ160" s="600">
        <f t="shared" si="255"/>
        <v>794424.95</v>
      </c>
      <c r="BK160" s="600">
        <f t="shared" si="256"/>
        <v>279081.48493499996</v>
      </c>
      <c r="BL160" s="600">
        <v>794424.95</v>
      </c>
      <c r="BM160" s="600">
        <f t="shared" si="257"/>
        <v>0</v>
      </c>
      <c r="BN160" s="600">
        <f t="shared" si="258"/>
        <v>0</v>
      </c>
      <c r="BO160" s="600">
        <f t="shared" si="259"/>
        <v>0</v>
      </c>
      <c r="BP160" s="600">
        <f t="shared" si="260"/>
        <v>279081.48493499996</v>
      </c>
      <c r="BQ160" s="600">
        <f t="shared" si="261"/>
        <v>0</v>
      </c>
      <c r="BR160" s="600">
        <f t="shared" si="262"/>
        <v>0</v>
      </c>
      <c r="BT160" s="606">
        <f t="shared" si="263"/>
        <v>1</v>
      </c>
      <c r="BU160" s="607">
        <f t="shared" si="264"/>
        <v>0</v>
      </c>
      <c r="BV160" s="606">
        <f t="shared" si="265"/>
        <v>1</v>
      </c>
      <c r="BW160" s="607">
        <f t="shared" si="266"/>
        <v>0</v>
      </c>
      <c r="BX160" s="607">
        <f t="shared" si="267"/>
        <v>0</v>
      </c>
      <c r="BY160" s="607">
        <f t="shared" si="268"/>
        <v>0</v>
      </c>
      <c r="BZ160" s="607">
        <f t="shared" si="269"/>
        <v>0</v>
      </c>
      <c r="CA160" s="607">
        <f t="shared" si="270"/>
        <v>0</v>
      </c>
      <c r="CB160" s="607">
        <f t="shared" si="288"/>
        <v>0</v>
      </c>
      <c r="CC160" s="607">
        <f t="shared" si="271"/>
        <v>0</v>
      </c>
      <c r="CD160" s="607">
        <f t="shared" si="272"/>
        <v>0</v>
      </c>
      <c r="CE160" s="607">
        <f t="shared" si="273"/>
        <v>0</v>
      </c>
      <c r="CF160" s="607">
        <f t="shared" si="294"/>
        <v>0</v>
      </c>
      <c r="CG160" s="607">
        <f t="shared" si="295"/>
        <v>0</v>
      </c>
      <c r="CH160" s="607">
        <f t="shared" si="276"/>
        <v>794424.95</v>
      </c>
      <c r="CI160" s="609"/>
      <c r="CK160" s="610" t="str">
        <f t="shared" si="289"/>
        <v/>
      </c>
      <c r="CL160" s="611" t="str">
        <f>IF(CK160="","",COUNTIFS($CK$16:CK160,"Yes")+MAX(State!AD:AD))</f>
        <v/>
      </c>
      <c r="CM160" s="612" t="b">
        <f>IF(C160="", "", AND(INDEX('Summary Dynamic'!$D$8:$D$10, MATCH(H160, 'Summary Dynamic'!$C$8:$C$10, 0))="Include", INDEX('Summary Dynamic'!$D$12:$D$14, MATCH(I160, 'Summary Dynamic'!$C$12:$C$14, 0))="Include", INDEX('Summary Dynamic'!$D$16:$D$17, MATCH(J160, 'Summary Dynamic'!$C$16:$C$17, 0))="Include", INDEX('Summary Dynamic'!$D$19:$D$20, MATCH(K160, 'Summary Dynamic'!$C$19:$C$20, 0))="Include", INDEX('Summary Dynamic'!$D$25:$D$26, MATCH(L160, 'Summary Dynamic'!$C$25:$C$26, 0))="Include",'Summary Dynamic'!$D$23="Include"))</f>
        <v>1</v>
      </c>
      <c r="CN160" s="613">
        <f>IFERROR(IF(CM160=TRUE, COUNTIFS($CM$16:CM160, TRUE), ""), "")</f>
        <v>145</v>
      </c>
      <c r="CP160" s="614" t="str">
        <f t="shared" si="277"/>
        <v>Non-Rural Private</v>
      </c>
      <c r="CY160" s="615"/>
      <c r="CZ160" s="616"/>
    </row>
    <row r="161" spans="2:104" x14ac:dyDescent="0.25">
      <c r="B161" s="617">
        <f t="shared" si="278"/>
        <v>146</v>
      </c>
      <c r="C161" s="593" t="s">
        <v>955</v>
      </c>
      <c r="D161" s="594" t="s">
        <v>955</v>
      </c>
      <c r="E161" s="594">
        <v>1700441086</v>
      </c>
      <c r="F161" s="407" t="s">
        <v>956</v>
      </c>
      <c r="G161" s="408" t="s">
        <v>318</v>
      </c>
      <c r="H161" s="408" t="s">
        <v>22</v>
      </c>
      <c r="I161" s="408" t="s">
        <v>26</v>
      </c>
      <c r="J161" s="408" t="s">
        <v>35</v>
      </c>
      <c r="K161" s="408" t="s">
        <v>35</v>
      </c>
      <c r="L161" s="408" t="s">
        <v>37</v>
      </c>
      <c r="M161" s="408" t="s">
        <v>35</v>
      </c>
      <c r="N161" s="595" t="str">
        <f t="shared" si="232"/>
        <v>No</v>
      </c>
      <c r="O161" s="596">
        <v>7306</v>
      </c>
      <c r="P161" s="596">
        <v>20092</v>
      </c>
      <c r="Q161" s="597">
        <v>0.34182470858246727</v>
      </c>
      <c r="R161" s="596">
        <f t="shared" si="279"/>
        <v>6867.9420448389328</v>
      </c>
      <c r="S161" s="596">
        <f t="shared" si="280"/>
        <v>14173.942044838932</v>
      </c>
      <c r="T161" s="596">
        <f t="shared" si="233"/>
        <v>14173.942044838932</v>
      </c>
      <c r="U161" s="598">
        <f t="shared" si="281"/>
        <v>3.3160266003282313E-3</v>
      </c>
      <c r="V161" s="599">
        <f t="shared" si="290"/>
        <v>0</v>
      </c>
      <c r="W161" s="600">
        <v>1574317.5021378372</v>
      </c>
      <c r="X161" s="600">
        <v>0</v>
      </c>
      <c r="Y161" s="600">
        <v>0</v>
      </c>
      <c r="Z161" s="600">
        <f t="shared" si="282"/>
        <v>0</v>
      </c>
      <c r="AA161" s="600">
        <f t="shared" si="283"/>
        <v>1574317.5021378372</v>
      </c>
      <c r="AB161" s="601">
        <f t="shared" si="234"/>
        <v>0</v>
      </c>
      <c r="AC161" s="599">
        <v>1134295.9009298687</v>
      </c>
      <c r="AD161" s="599">
        <f>MAX(IF(M161="Yes",'Assumption Inputs'!$C$40,'Assumption Inputs'!$C$41),AC161)</f>
        <v>6000000</v>
      </c>
      <c r="AE161" s="599">
        <f t="shared" si="291"/>
        <v>1021259.7636368151</v>
      </c>
      <c r="AF161" s="599">
        <f t="shared" si="235"/>
        <v>0</v>
      </c>
      <c r="AG161" s="599">
        <f t="shared" si="292"/>
        <v>0</v>
      </c>
      <c r="AH161" s="599">
        <f t="shared" si="293"/>
        <v>1021259.7636368151</v>
      </c>
      <c r="AI161" s="599">
        <v>6111966.0436863601</v>
      </c>
      <c r="AJ161" s="599">
        <v>5558908.3051853376</v>
      </c>
      <c r="AK161" s="602">
        <f t="shared" si="284"/>
        <v>0.9095123018439657</v>
      </c>
      <c r="AL161" s="603">
        <f t="shared" si="236"/>
        <v>0</v>
      </c>
      <c r="AM161" s="600">
        <f t="shared" si="285"/>
        <v>1021259.7636368151</v>
      </c>
      <c r="AN161" s="600">
        <f t="shared" si="237"/>
        <v>1021259.7636368151</v>
      </c>
      <c r="AO161" s="600">
        <f t="shared" si="238"/>
        <v>0</v>
      </c>
      <c r="AP161" s="600">
        <f t="shared" si="239"/>
        <v>553057.7385010221</v>
      </c>
      <c r="AQ161" s="600">
        <f t="shared" si="286"/>
        <v>0</v>
      </c>
      <c r="AR161" s="600">
        <f t="shared" si="287"/>
        <v>1021259.7636368151</v>
      </c>
      <c r="AS161" s="604">
        <f t="shared" si="240"/>
        <v>0</v>
      </c>
      <c r="AT161" s="605">
        <f t="shared" si="241"/>
        <v>0</v>
      </c>
      <c r="AU161" s="600">
        <f t="shared" si="242"/>
        <v>1021259.7636368151</v>
      </c>
      <c r="AV161" s="600">
        <f t="shared" si="243"/>
        <v>1021259.7636368151</v>
      </c>
      <c r="AW161" s="600">
        <f t="shared" si="244"/>
        <v>0</v>
      </c>
      <c r="AX161" s="600">
        <f t="shared" si="245"/>
        <v>553057.7385010221</v>
      </c>
      <c r="AY161" s="600">
        <f t="shared" si="246"/>
        <v>1.0881683069355573E-12</v>
      </c>
      <c r="AZ161" s="600">
        <f t="shared" si="247"/>
        <v>1021259.7636368151</v>
      </c>
      <c r="BA161" s="600">
        <f t="shared" si="248"/>
        <v>0</v>
      </c>
      <c r="BB161" s="600">
        <f t="shared" si="249"/>
        <v>0</v>
      </c>
      <c r="BC161" s="600">
        <f t="shared" si="250"/>
        <v>0</v>
      </c>
      <c r="BD161" s="600">
        <f t="shared" si="251"/>
        <v>0</v>
      </c>
      <c r="BE161" s="600">
        <f t="shared" si="252"/>
        <v>553057.7385010221</v>
      </c>
      <c r="BF161" s="600">
        <f t="shared" si="253"/>
        <v>1021259.7636368151</v>
      </c>
      <c r="BG161" s="600">
        <v>0</v>
      </c>
      <c r="BH161" s="600">
        <v>0</v>
      </c>
      <c r="BI161" s="600">
        <f t="shared" si="254"/>
        <v>0</v>
      </c>
      <c r="BJ161" s="600">
        <f t="shared" si="255"/>
        <v>1021259.76</v>
      </c>
      <c r="BK161" s="600">
        <f t="shared" si="256"/>
        <v>358768.55368799996</v>
      </c>
      <c r="BL161" s="600">
        <v>1021259.76</v>
      </c>
      <c r="BM161" s="600">
        <f t="shared" si="257"/>
        <v>0</v>
      </c>
      <c r="BN161" s="600">
        <f t="shared" si="258"/>
        <v>0</v>
      </c>
      <c r="BO161" s="600">
        <f t="shared" si="259"/>
        <v>0</v>
      </c>
      <c r="BP161" s="600">
        <f t="shared" si="260"/>
        <v>358768.55368799996</v>
      </c>
      <c r="BQ161" s="600">
        <f t="shared" si="261"/>
        <v>0</v>
      </c>
      <c r="BR161" s="600">
        <f t="shared" si="262"/>
        <v>0</v>
      </c>
      <c r="BT161" s="606">
        <f t="shared" si="263"/>
        <v>1</v>
      </c>
      <c r="BU161" s="607">
        <f t="shared" si="264"/>
        <v>0</v>
      </c>
      <c r="BV161" s="606">
        <f t="shared" si="265"/>
        <v>1</v>
      </c>
      <c r="BW161" s="607">
        <f t="shared" si="266"/>
        <v>0</v>
      </c>
      <c r="BX161" s="607">
        <f t="shared" si="267"/>
        <v>0</v>
      </c>
      <c r="BY161" s="607">
        <f t="shared" si="268"/>
        <v>0</v>
      </c>
      <c r="BZ161" s="607">
        <f t="shared" si="269"/>
        <v>0</v>
      </c>
      <c r="CA161" s="607">
        <f t="shared" si="270"/>
        <v>0</v>
      </c>
      <c r="CB161" s="607">
        <f t="shared" si="288"/>
        <v>0</v>
      </c>
      <c r="CC161" s="607">
        <f t="shared" si="271"/>
        <v>0</v>
      </c>
      <c r="CD161" s="607">
        <f t="shared" si="272"/>
        <v>0</v>
      </c>
      <c r="CE161" s="607">
        <f t="shared" si="273"/>
        <v>0</v>
      </c>
      <c r="CF161" s="607">
        <f t="shared" si="294"/>
        <v>0</v>
      </c>
      <c r="CG161" s="607">
        <f t="shared" si="295"/>
        <v>0</v>
      </c>
      <c r="CH161" s="607">
        <f t="shared" si="276"/>
        <v>1021259.76</v>
      </c>
      <c r="CI161" s="609"/>
      <c r="CK161" s="610" t="str">
        <f t="shared" si="289"/>
        <v/>
      </c>
      <c r="CL161" s="611" t="str">
        <f>IF(CK161="","",COUNTIFS($CK$16:CK161,"Yes")+MAX(State!AD:AD))</f>
        <v/>
      </c>
      <c r="CM161" s="612" t="b">
        <f>IF(C161="", "", AND(INDEX('Summary Dynamic'!$D$8:$D$10, MATCH(H161, 'Summary Dynamic'!$C$8:$C$10, 0))="Include", INDEX('Summary Dynamic'!$D$12:$D$14, MATCH(I161, 'Summary Dynamic'!$C$12:$C$14, 0))="Include", INDEX('Summary Dynamic'!$D$16:$D$17, MATCH(J161, 'Summary Dynamic'!$C$16:$C$17, 0))="Include", INDEX('Summary Dynamic'!$D$19:$D$20, MATCH(K161, 'Summary Dynamic'!$C$19:$C$20, 0))="Include", INDEX('Summary Dynamic'!$D$25:$D$26, MATCH(L161, 'Summary Dynamic'!$C$25:$C$26, 0))="Include",'Summary Dynamic'!$D$23="Include"))</f>
        <v>1</v>
      </c>
      <c r="CN161" s="613">
        <f>IFERROR(IF(CM161=TRUE, COUNTIFS($CM$16:CM161, TRUE), ""), "")</f>
        <v>146</v>
      </c>
      <c r="CP161" s="614" t="str">
        <f t="shared" si="277"/>
        <v>Non-Rural Private</v>
      </c>
      <c r="CY161" s="615"/>
      <c r="CZ161" s="616"/>
    </row>
    <row r="162" spans="2:104" x14ac:dyDescent="0.25">
      <c r="B162" s="617">
        <f t="shared" si="278"/>
        <v>147</v>
      </c>
      <c r="C162" s="593" t="s">
        <v>957</v>
      </c>
      <c r="D162" s="594" t="s">
        <v>957</v>
      </c>
      <c r="E162" s="594" t="s">
        <v>958</v>
      </c>
      <c r="F162" s="407" t="s">
        <v>959</v>
      </c>
      <c r="G162" s="408" t="s">
        <v>669</v>
      </c>
      <c r="H162" s="408" t="s">
        <v>22</v>
      </c>
      <c r="I162" s="408" t="s">
        <v>26</v>
      </c>
      <c r="J162" s="408" t="s">
        <v>35</v>
      </c>
      <c r="K162" s="408" t="s">
        <v>35</v>
      </c>
      <c r="L162" s="408" t="s">
        <v>35</v>
      </c>
      <c r="M162" s="408" t="s">
        <v>37</v>
      </c>
      <c r="N162" s="595" t="str">
        <f t="shared" si="232"/>
        <v>No</v>
      </c>
      <c r="O162" s="596">
        <v>8011</v>
      </c>
      <c r="P162" s="596">
        <v>110367</v>
      </c>
      <c r="Q162" s="597">
        <v>0.11074537395373771</v>
      </c>
      <c r="R162" s="596">
        <f t="shared" si="279"/>
        <v>12222.634687152169</v>
      </c>
      <c r="S162" s="596">
        <f t="shared" si="280"/>
        <v>20233.634687152167</v>
      </c>
      <c r="T162" s="596">
        <f t="shared" si="233"/>
        <v>20233.634687152167</v>
      </c>
      <c r="U162" s="598">
        <f t="shared" si="281"/>
        <v>4.7337057419641103E-3</v>
      </c>
      <c r="V162" s="599">
        <f t="shared" si="290"/>
        <v>0</v>
      </c>
      <c r="W162" s="600">
        <v>33022949.705251038</v>
      </c>
      <c r="X162" s="600">
        <v>0</v>
      </c>
      <c r="Y162" s="600">
        <v>13869589.418357925</v>
      </c>
      <c r="Z162" s="600">
        <f t="shared" si="282"/>
        <v>0</v>
      </c>
      <c r="AA162" s="600">
        <f t="shared" si="283"/>
        <v>33022949.705251038</v>
      </c>
      <c r="AB162" s="601">
        <f t="shared" si="234"/>
        <v>0</v>
      </c>
      <c r="AC162" s="599">
        <v>2351518.314992561</v>
      </c>
      <c r="AD162" s="599">
        <f>MAX(IF(M162="Yes",'Assumption Inputs'!$C$40,'Assumption Inputs'!$C$41),AC162)</f>
        <v>8000000</v>
      </c>
      <c r="AE162" s="599">
        <f t="shared" si="291"/>
        <v>8000000</v>
      </c>
      <c r="AF162" s="599">
        <f t="shared" si="235"/>
        <v>0</v>
      </c>
      <c r="AG162" s="599">
        <f t="shared" si="292"/>
        <v>0</v>
      </c>
      <c r="AH162" s="599">
        <f t="shared" si="293"/>
        <v>8000000</v>
      </c>
      <c r="AI162" s="599">
        <v>71592973.232903942</v>
      </c>
      <c r="AJ162" s="599">
        <v>46570023.527652904</v>
      </c>
      <c r="AK162" s="602">
        <f t="shared" si="284"/>
        <v>0.65048316091235392</v>
      </c>
      <c r="AL162" s="603">
        <f t="shared" si="236"/>
        <v>0</v>
      </c>
      <c r="AM162" s="600">
        <f t="shared" si="285"/>
        <v>8000000</v>
      </c>
      <c r="AN162" s="600">
        <f t="shared" si="237"/>
        <v>8000000</v>
      </c>
      <c r="AO162" s="600">
        <f t="shared" si="238"/>
        <v>0</v>
      </c>
      <c r="AP162" s="600">
        <f t="shared" si="239"/>
        <v>25022949.705251038</v>
      </c>
      <c r="AQ162" s="600">
        <f t="shared" si="286"/>
        <v>0</v>
      </c>
      <c r="AR162" s="600">
        <f t="shared" si="287"/>
        <v>8000000</v>
      </c>
      <c r="AS162" s="604">
        <f t="shared" si="240"/>
        <v>0</v>
      </c>
      <c r="AT162" s="605">
        <f t="shared" si="241"/>
        <v>0</v>
      </c>
      <c r="AU162" s="600">
        <f t="shared" si="242"/>
        <v>8000000</v>
      </c>
      <c r="AV162" s="600">
        <f t="shared" si="243"/>
        <v>8000000</v>
      </c>
      <c r="AW162" s="600">
        <f t="shared" si="244"/>
        <v>0</v>
      </c>
      <c r="AX162" s="600">
        <f t="shared" si="245"/>
        <v>25022949.705251038</v>
      </c>
      <c r="AY162" s="600">
        <f t="shared" si="246"/>
        <v>4.9233884492959327E-11</v>
      </c>
      <c r="AZ162" s="600">
        <f t="shared" si="247"/>
        <v>8000000</v>
      </c>
      <c r="BA162" s="600">
        <f t="shared" si="248"/>
        <v>0</v>
      </c>
      <c r="BB162" s="600">
        <f t="shared" si="249"/>
        <v>0</v>
      </c>
      <c r="BC162" s="600">
        <f t="shared" si="250"/>
        <v>0</v>
      </c>
      <c r="BD162" s="600">
        <f t="shared" si="251"/>
        <v>0</v>
      </c>
      <c r="BE162" s="600">
        <f t="shared" si="252"/>
        <v>25022949.705251038</v>
      </c>
      <c r="BF162" s="600">
        <f t="shared" si="253"/>
        <v>8000000</v>
      </c>
      <c r="BG162" s="600">
        <v>0</v>
      </c>
      <c r="BH162" s="600">
        <v>0</v>
      </c>
      <c r="BI162" s="600">
        <f t="shared" si="254"/>
        <v>0</v>
      </c>
      <c r="BJ162" s="600">
        <f t="shared" si="255"/>
        <v>8000000</v>
      </c>
      <c r="BK162" s="600">
        <f t="shared" si="256"/>
        <v>2810399.9999999995</v>
      </c>
      <c r="BL162" s="600">
        <v>8000000</v>
      </c>
      <c r="BM162" s="600">
        <f t="shared" si="257"/>
        <v>0</v>
      </c>
      <c r="BN162" s="600">
        <f t="shared" si="258"/>
        <v>0</v>
      </c>
      <c r="BO162" s="600">
        <f t="shared" si="259"/>
        <v>0</v>
      </c>
      <c r="BP162" s="600">
        <f t="shared" si="260"/>
        <v>2810399.9999999995</v>
      </c>
      <c r="BQ162" s="600">
        <f t="shared" si="261"/>
        <v>0</v>
      </c>
      <c r="BR162" s="600">
        <f t="shared" si="262"/>
        <v>0</v>
      </c>
      <c r="BT162" s="606">
        <f t="shared" si="263"/>
        <v>1</v>
      </c>
      <c r="BU162" s="607">
        <f t="shared" si="264"/>
        <v>0</v>
      </c>
      <c r="BV162" s="606">
        <f t="shared" si="265"/>
        <v>1</v>
      </c>
      <c r="BW162" s="607">
        <f t="shared" si="266"/>
        <v>0</v>
      </c>
      <c r="BX162" s="607">
        <f t="shared" si="267"/>
        <v>0</v>
      </c>
      <c r="BY162" s="607">
        <f t="shared" si="268"/>
        <v>0</v>
      </c>
      <c r="BZ162" s="607">
        <f t="shared" si="269"/>
        <v>0</v>
      </c>
      <c r="CA162" s="607">
        <f t="shared" si="270"/>
        <v>0</v>
      </c>
      <c r="CB162" s="607">
        <f t="shared" si="288"/>
        <v>0</v>
      </c>
      <c r="CC162" s="607">
        <f t="shared" si="271"/>
        <v>0</v>
      </c>
      <c r="CD162" s="607">
        <f t="shared" si="272"/>
        <v>0</v>
      </c>
      <c r="CE162" s="607">
        <f t="shared" si="273"/>
        <v>0</v>
      </c>
      <c r="CF162" s="607">
        <f t="shared" si="294"/>
        <v>0</v>
      </c>
      <c r="CG162" s="607">
        <f t="shared" si="295"/>
        <v>0</v>
      </c>
      <c r="CH162" s="607">
        <f t="shared" si="276"/>
        <v>8000000</v>
      </c>
      <c r="CI162" s="609"/>
      <c r="CK162" s="610" t="str">
        <f t="shared" si="289"/>
        <v/>
      </c>
      <c r="CL162" s="611" t="str">
        <f>IF(CK162="","",COUNTIFS($CK$16:CK162,"Yes")+MAX(State!AD:AD))</f>
        <v/>
      </c>
      <c r="CM162" s="612" t="b">
        <f>IF(C162="", "", AND(INDEX('Summary Dynamic'!$D$8:$D$10, MATCH(H162, 'Summary Dynamic'!$C$8:$C$10, 0))="Include", INDEX('Summary Dynamic'!$D$12:$D$14, MATCH(I162, 'Summary Dynamic'!$C$12:$C$14, 0))="Include", INDEX('Summary Dynamic'!$D$16:$D$17, MATCH(J162, 'Summary Dynamic'!$C$16:$C$17, 0))="Include", INDEX('Summary Dynamic'!$D$19:$D$20, MATCH(K162, 'Summary Dynamic'!$C$19:$C$20, 0))="Include", INDEX('Summary Dynamic'!$D$25:$D$26, MATCH(L162, 'Summary Dynamic'!$C$25:$C$26, 0))="Include",'Summary Dynamic'!$D$23="Include"))</f>
        <v>1</v>
      </c>
      <c r="CN162" s="613">
        <f>IFERROR(IF(CM162=TRUE, COUNTIFS($CM$16:CM162, TRUE), ""), "")</f>
        <v>147</v>
      </c>
      <c r="CP162" s="614" t="str">
        <f t="shared" si="277"/>
        <v>Non-Rural Private</v>
      </c>
      <c r="CY162" s="615"/>
      <c r="CZ162" s="616"/>
    </row>
    <row r="163" spans="2:104" x14ac:dyDescent="0.25">
      <c r="B163" s="617">
        <f t="shared" si="278"/>
        <v>148</v>
      </c>
      <c r="C163" s="593" t="s">
        <v>960</v>
      </c>
      <c r="D163" s="594" t="s">
        <v>960</v>
      </c>
      <c r="E163" s="594" t="s">
        <v>961</v>
      </c>
      <c r="F163" s="407" t="s">
        <v>962</v>
      </c>
      <c r="G163" s="408" t="s">
        <v>858</v>
      </c>
      <c r="H163" s="408" t="s">
        <v>22</v>
      </c>
      <c r="I163" s="408" t="s">
        <v>26</v>
      </c>
      <c r="J163" s="408" t="s">
        <v>35</v>
      </c>
      <c r="K163" s="408" t="s">
        <v>35</v>
      </c>
      <c r="L163" s="408" t="s">
        <v>35</v>
      </c>
      <c r="M163" s="408" t="s">
        <v>35</v>
      </c>
      <c r="N163" s="595" t="str">
        <f t="shared" si="232"/>
        <v>No</v>
      </c>
      <c r="O163" s="596">
        <v>3195</v>
      </c>
      <c r="P163" s="596">
        <v>8227</v>
      </c>
      <c r="Q163" s="597">
        <v>0.30941499442179893</v>
      </c>
      <c r="R163" s="596">
        <f t="shared" si="279"/>
        <v>2545.5571591081398</v>
      </c>
      <c r="S163" s="596">
        <f t="shared" si="280"/>
        <v>5740.5571591081398</v>
      </c>
      <c r="T163" s="596">
        <f t="shared" si="233"/>
        <v>5740.5571591081398</v>
      </c>
      <c r="U163" s="598">
        <f t="shared" si="281"/>
        <v>1.3430166554997771E-3</v>
      </c>
      <c r="V163" s="599">
        <f t="shared" si="290"/>
        <v>0</v>
      </c>
      <c r="W163" s="600">
        <v>17978688.810798623</v>
      </c>
      <c r="X163" s="600">
        <v>0</v>
      </c>
      <c r="Y163" s="600">
        <v>10058647.324810525</v>
      </c>
      <c r="Z163" s="600">
        <f t="shared" si="282"/>
        <v>0</v>
      </c>
      <c r="AA163" s="600">
        <f t="shared" si="283"/>
        <v>17978688.810798623</v>
      </c>
      <c r="AB163" s="601">
        <f t="shared" si="234"/>
        <v>0</v>
      </c>
      <c r="AC163" s="599">
        <v>6686756.8098862134</v>
      </c>
      <c r="AD163" s="599">
        <f>MAX(IF(M163="Yes",'Assumption Inputs'!$C$40,'Assumption Inputs'!$C$41),AC163)</f>
        <v>6686756.8098862134</v>
      </c>
      <c r="AE163" s="599">
        <f t="shared" si="291"/>
        <v>6686756.8098862134</v>
      </c>
      <c r="AF163" s="599">
        <f t="shared" si="235"/>
        <v>0</v>
      </c>
      <c r="AG163" s="599">
        <f t="shared" si="292"/>
        <v>0</v>
      </c>
      <c r="AH163" s="599">
        <f t="shared" si="293"/>
        <v>6686756.8098862134</v>
      </c>
      <c r="AI163" s="599">
        <v>29736402.824905023</v>
      </c>
      <c r="AJ163" s="599">
        <v>18444470.82399261</v>
      </c>
      <c r="AK163" s="602">
        <f t="shared" si="284"/>
        <v>0.62026570370996181</v>
      </c>
      <c r="AL163" s="603">
        <f t="shared" si="236"/>
        <v>0</v>
      </c>
      <c r="AM163" s="600">
        <f t="shared" si="285"/>
        <v>6686756.8098862134</v>
      </c>
      <c r="AN163" s="600">
        <f t="shared" si="237"/>
        <v>6686756.8098862134</v>
      </c>
      <c r="AO163" s="600">
        <f t="shared" si="238"/>
        <v>0</v>
      </c>
      <c r="AP163" s="600">
        <f t="shared" si="239"/>
        <v>11291932.000912409</v>
      </c>
      <c r="AQ163" s="600">
        <f t="shared" si="286"/>
        <v>0</v>
      </c>
      <c r="AR163" s="600">
        <f t="shared" si="287"/>
        <v>6686756.8098862134</v>
      </c>
      <c r="AS163" s="604">
        <f t="shared" si="240"/>
        <v>0</v>
      </c>
      <c r="AT163" s="605">
        <f t="shared" si="241"/>
        <v>0</v>
      </c>
      <c r="AU163" s="600">
        <f t="shared" si="242"/>
        <v>6686756.8098862134</v>
      </c>
      <c r="AV163" s="600">
        <f t="shared" si="243"/>
        <v>6686756.8098862134</v>
      </c>
      <c r="AW163" s="600">
        <f t="shared" si="244"/>
        <v>0</v>
      </c>
      <c r="AX163" s="600">
        <f t="shared" si="245"/>
        <v>11291932.000912409</v>
      </c>
      <c r="AY163" s="600">
        <f t="shared" si="246"/>
        <v>2.2217431693059275E-11</v>
      </c>
      <c r="AZ163" s="600">
        <f t="shared" si="247"/>
        <v>6686756.8098862134</v>
      </c>
      <c r="BA163" s="600">
        <f t="shared" si="248"/>
        <v>0</v>
      </c>
      <c r="BB163" s="600">
        <f t="shared" si="249"/>
        <v>0</v>
      </c>
      <c r="BC163" s="600">
        <f t="shared" si="250"/>
        <v>0</v>
      </c>
      <c r="BD163" s="600">
        <f t="shared" si="251"/>
        <v>0</v>
      </c>
      <c r="BE163" s="600">
        <f t="shared" si="252"/>
        <v>11291932.000912409</v>
      </c>
      <c r="BF163" s="600">
        <f t="shared" si="253"/>
        <v>6686756.8098862134</v>
      </c>
      <c r="BG163" s="600">
        <v>0</v>
      </c>
      <c r="BH163" s="600">
        <v>0</v>
      </c>
      <c r="BI163" s="600">
        <f t="shared" si="254"/>
        <v>0</v>
      </c>
      <c r="BJ163" s="600">
        <f t="shared" si="255"/>
        <v>6686756.8099999996</v>
      </c>
      <c r="BK163" s="600">
        <f t="shared" si="256"/>
        <v>2349057.6673529996</v>
      </c>
      <c r="BL163" s="600">
        <v>6686756.8099999996</v>
      </c>
      <c r="BM163" s="600">
        <f t="shared" si="257"/>
        <v>0</v>
      </c>
      <c r="BN163" s="600">
        <f t="shared" si="258"/>
        <v>0</v>
      </c>
      <c r="BO163" s="600">
        <f t="shared" si="259"/>
        <v>0</v>
      </c>
      <c r="BP163" s="600">
        <f t="shared" si="260"/>
        <v>2349057.6673529996</v>
      </c>
      <c r="BQ163" s="600">
        <f t="shared" si="261"/>
        <v>0</v>
      </c>
      <c r="BR163" s="600">
        <f t="shared" si="262"/>
        <v>0</v>
      </c>
      <c r="BT163" s="606">
        <f t="shared" si="263"/>
        <v>1</v>
      </c>
      <c r="BU163" s="607">
        <f t="shared" si="264"/>
        <v>0</v>
      </c>
      <c r="BV163" s="606">
        <f t="shared" si="265"/>
        <v>1</v>
      </c>
      <c r="BW163" s="607">
        <f t="shared" si="266"/>
        <v>0</v>
      </c>
      <c r="BX163" s="607">
        <f t="shared" si="267"/>
        <v>0</v>
      </c>
      <c r="BY163" s="607">
        <f t="shared" si="268"/>
        <v>0</v>
      </c>
      <c r="BZ163" s="607">
        <f t="shared" si="269"/>
        <v>0</v>
      </c>
      <c r="CA163" s="607">
        <f t="shared" si="270"/>
        <v>0</v>
      </c>
      <c r="CB163" s="607">
        <f t="shared" si="288"/>
        <v>0</v>
      </c>
      <c r="CC163" s="607">
        <f t="shared" si="271"/>
        <v>0</v>
      </c>
      <c r="CD163" s="607">
        <f t="shared" si="272"/>
        <v>0</v>
      </c>
      <c r="CE163" s="607">
        <f t="shared" si="273"/>
        <v>0</v>
      </c>
      <c r="CF163" s="607">
        <f t="shared" si="294"/>
        <v>0</v>
      </c>
      <c r="CG163" s="607">
        <f t="shared" si="295"/>
        <v>0</v>
      </c>
      <c r="CH163" s="607">
        <f t="shared" si="276"/>
        <v>6686756.8099999996</v>
      </c>
      <c r="CI163" s="609"/>
      <c r="CK163" s="610" t="str">
        <f t="shared" si="289"/>
        <v/>
      </c>
      <c r="CL163" s="611" t="str">
        <f>IF(CK163="","",COUNTIFS($CK$16:CK163,"Yes")+MAX(State!AD:AD))</f>
        <v/>
      </c>
      <c r="CM163" s="612" t="b">
        <f>IF(C163="", "", AND(INDEX('Summary Dynamic'!$D$8:$D$10, MATCH(H163, 'Summary Dynamic'!$C$8:$C$10, 0))="Include", INDEX('Summary Dynamic'!$D$12:$D$14, MATCH(I163, 'Summary Dynamic'!$C$12:$C$14, 0))="Include", INDEX('Summary Dynamic'!$D$16:$D$17, MATCH(J163, 'Summary Dynamic'!$C$16:$C$17, 0))="Include", INDEX('Summary Dynamic'!$D$19:$D$20, MATCH(K163, 'Summary Dynamic'!$C$19:$C$20, 0))="Include", INDEX('Summary Dynamic'!$D$25:$D$26, MATCH(L163, 'Summary Dynamic'!$C$25:$C$26, 0))="Include",'Summary Dynamic'!$D$23="Include"))</f>
        <v>1</v>
      </c>
      <c r="CN163" s="613">
        <f>IFERROR(IF(CM163=TRUE, COUNTIFS($CM$16:CM163, TRUE), ""), "")</f>
        <v>148</v>
      </c>
      <c r="CP163" s="614" t="str">
        <f t="shared" si="277"/>
        <v>Non-Rural Private</v>
      </c>
      <c r="CY163" s="615"/>
      <c r="CZ163" s="616"/>
    </row>
    <row r="164" spans="2:104" x14ac:dyDescent="0.25">
      <c r="B164" s="617">
        <f t="shared" si="278"/>
        <v>149</v>
      </c>
      <c r="C164" s="593" t="s">
        <v>963</v>
      </c>
      <c r="D164" s="594" t="s">
        <v>963</v>
      </c>
      <c r="E164" s="594" t="s">
        <v>964</v>
      </c>
      <c r="F164" s="407" t="s">
        <v>965</v>
      </c>
      <c r="G164" s="408" t="s">
        <v>966</v>
      </c>
      <c r="H164" s="408" t="s">
        <v>22</v>
      </c>
      <c r="I164" s="408" t="s">
        <v>26</v>
      </c>
      <c r="J164" s="408" t="s">
        <v>31</v>
      </c>
      <c r="K164" s="408" t="s">
        <v>35</v>
      </c>
      <c r="L164" s="408" t="s">
        <v>35</v>
      </c>
      <c r="M164" s="408" t="s">
        <v>35</v>
      </c>
      <c r="N164" s="595" t="str">
        <f t="shared" si="232"/>
        <v>No</v>
      </c>
      <c r="O164" s="596">
        <v>1933</v>
      </c>
      <c r="P164" s="596">
        <v>13219</v>
      </c>
      <c r="Q164" s="597">
        <v>9.8611072538553501E-2</v>
      </c>
      <c r="R164" s="596">
        <f t="shared" si="279"/>
        <v>1303.5397678871386</v>
      </c>
      <c r="S164" s="596">
        <f t="shared" si="280"/>
        <v>3236.5397678871386</v>
      </c>
      <c r="T164" s="596">
        <f t="shared" si="233"/>
        <v>3236.5397678871386</v>
      </c>
      <c r="U164" s="598">
        <f t="shared" si="281"/>
        <v>7.5719598185050086E-4</v>
      </c>
      <c r="V164" s="599">
        <f t="shared" si="290"/>
        <v>0</v>
      </c>
      <c r="W164" s="600">
        <v>2119829.3218178181</v>
      </c>
      <c r="X164" s="600">
        <v>0</v>
      </c>
      <c r="Y164" s="600">
        <v>82119.978153942386</v>
      </c>
      <c r="Z164" s="600">
        <f t="shared" si="282"/>
        <v>0</v>
      </c>
      <c r="AA164" s="600">
        <f t="shared" si="283"/>
        <v>2119829.3218178181</v>
      </c>
      <c r="AB164" s="601">
        <f t="shared" si="234"/>
        <v>0</v>
      </c>
      <c r="AC164" s="599">
        <v>0</v>
      </c>
      <c r="AD164" s="599">
        <f>MAX(IF(M164="Yes",'Assumption Inputs'!$C$40,'Assumption Inputs'!$C$41),AC164)</f>
        <v>6000000</v>
      </c>
      <c r="AE164" s="599">
        <f t="shared" si="291"/>
        <v>1375133.2810632188</v>
      </c>
      <c r="AF164" s="599">
        <f t="shared" si="235"/>
        <v>0</v>
      </c>
      <c r="AG164" s="599">
        <f t="shared" si="292"/>
        <v>0</v>
      </c>
      <c r="AH164" s="599">
        <f t="shared" si="293"/>
        <v>1375133.2810632188</v>
      </c>
      <c r="AI164" s="599">
        <v>11857295.62115185</v>
      </c>
      <c r="AJ164" s="599">
        <v>11112599.58039725</v>
      </c>
      <c r="AK164" s="602">
        <f t="shared" si="284"/>
        <v>0.9371951189758515</v>
      </c>
      <c r="AL164" s="603">
        <f t="shared" si="236"/>
        <v>0</v>
      </c>
      <c r="AM164" s="600">
        <f t="shared" si="285"/>
        <v>1375133.2810632188</v>
      </c>
      <c r="AN164" s="600">
        <f t="shared" si="237"/>
        <v>1375133.2810632188</v>
      </c>
      <c r="AO164" s="600">
        <f t="shared" si="238"/>
        <v>0</v>
      </c>
      <c r="AP164" s="600">
        <f t="shared" si="239"/>
        <v>744696.04075459926</v>
      </c>
      <c r="AQ164" s="600">
        <f t="shared" si="286"/>
        <v>0</v>
      </c>
      <c r="AR164" s="600">
        <f t="shared" si="287"/>
        <v>1375133.2810632188</v>
      </c>
      <c r="AS164" s="604">
        <f t="shared" si="240"/>
        <v>0</v>
      </c>
      <c r="AT164" s="605">
        <f t="shared" si="241"/>
        <v>0</v>
      </c>
      <c r="AU164" s="600">
        <f t="shared" si="242"/>
        <v>1375133.2810632188</v>
      </c>
      <c r="AV164" s="600">
        <f t="shared" si="243"/>
        <v>1375133.2810632188</v>
      </c>
      <c r="AW164" s="600">
        <f t="shared" si="244"/>
        <v>0</v>
      </c>
      <c r="AX164" s="600">
        <f t="shared" si="245"/>
        <v>744696.04075459926</v>
      </c>
      <c r="AY164" s="600">
        <f t="shared" si="246"/>
        <v>1.4652260938358561E-12</v>
      </c>
      <c r="AZ164" s="600">
        <f t="shared" si="247"/>
        <v>1375133.2810632188</v>
      </c>
      <c r="BA164" s="600">
        <f t="shared" si="248"/>
        <v>0</v>
      </c>
      <c r="BB164" s="600">
        <f t="shared" si="249"/>
        <v>0</v>
      </c>
      <c r="BC164" s="600">
        <f t="shared" si="250"/>
        <v>0</v>
      </c>
      <c r="BD164" s="600">
        <f t="shared" si="251"/>
        <v>0</v>
      </c>
      <c r="BE164" s="600">
        <f t="shared" si="252"/>
        <v>744696.04075459926</v>
      </c>
      <c r="BF164" s="600">
        <f t="shared" si="253"/>
        <v>1375133.2810632188</v>
      </c>
      <c r="BG164" s="600">
        <v>0</v>
      </c>
      <c r="BH164" s="600">
        <v>0</v>
      </c>
      <c r="BI164" s="600">
        <f t="shared" si="254"/>
        <v>0</v>
      </c>
      <c r="BJ164" s="600">
        <f t="shared" si="255"/>
        <v>1375133.28</v>
      </c>
      <c r="BK164" s="600">
        <f t="shared" si="256"/>
        <v>483084.32126399991</v>
      </c>
      <c r="BL164" s="600">
        <v>1375133.28</v>
      </c>
      <c r="BM164" s="600">
        <f t="shared" si="257"/>
        <v>0</v>
      </c>
      <c r="BN164" s="600">
        <f t="shared" si="258"/>
        <v>0</v>
      </c>
      <c r="BO164" s="600">
        <f t="shared" si="259"/>
        <v>0</v>
      </c>
      <c r="BP164" s="600">
        <f t="shared" si="260"/>
        <v>483084.32126399991</v>
      </c>
      <c r="BQ164" s="600">
        <f t="shared" si="261"/>
        <v>0</v>
      </c>
      <c r="BR164" s="600">
        <f t="shared" si="262"/>
        <v>0</v>
      </c>
      <c r="BT164" s="606">
        <f t="shared" si="263"/>
        <v>1</v>
      </c>
      <c r="BU164" s="607">
        <f t="shared" si="264"/>
        <v>0</v>
      </c>
      <c r="BV164" s="606">
        <f t="shared" si="265"/>
        <v>1.0531687207090277</v>
      </c>
      <c r="BW164" s="607">
        <f t="shared" si="266"/>
        <v>0</v>
      </c>
      <c r="BX164" s="607">
        <f t="shared" si="267"/>
        <v>0</v>
      </c>
      <c r="BY164" s="607">
        <f t="shared" si="268"/>
        <v>0</v>
      </c>
      <c r="BZ164" s="607">
        <f t="shared" si="269"/>
        <v>0</v>
      </c>
      <c r="CA164" s="607">
        <f t="shared" si="270"/>
        <v>0</v>
      </c>
      <c r="CB164" s="607">
        <f t="shared" si="288"/>
        <v>0</v>
      </c>
      <c r="CC164" s="607">
        <f t="shared" si="271"/>
        <v>261611.71911709069</v>
      </c>
      <c r="CD164" s="607">
        <f t="shared" si="272"/>
        <v>744696.04075459926</v>
      </c>
      <c r="CE164" s="607">
        <f t="shared" si="273"/>
        <v>744696.04075459926</v>
      </c>
      <c r="CF164" s="607">
        <f t="shared" si="294"/>
        <v>358923.36</v>
      </c>
      <c r="CG164" s="607">
        <f t="shared" si="295"/>
        <v>0</v>
      </c>
      <c r="CH164" s="607">
        <f t="shared" si="276"/>
        <v>1734056.6400000001</v>
      </c>
      <c r="CI164" s="609"/>
      <c r="CK164" s="610" t="str">
        <f t="shared" si="289"/>
        <v/>
      </c>
      <c r="CL164" s="611" t="str">
        <f>IF(CK164="","",COUNTIFS($CK$16:CK164,"Yes")+MAX(State!AD:AD))</f>
        <v/>
      </c>
      <c r="CM164" s="612" t="b">
        <f>IF(C164="", "", AND(INDEX('Summary Dynamic'!$D$8:$D$10, MATCH(H164, 'Summary Dynamic'!$C$8:$C$10, 0))="Include", INDEX('Summary Dynamic'!$D$12:$D$14, MATCH(I164, 'Summary Dynamic'!$C$12:$C$14, 0))="Include", INDEX('Summary Dynamic'!$D$16:$D$17, MATCH(J164, 'Summary Dynamic'!$C$16:$C$17, 0))="Include", INDEX('Summary Dynamic'!$D$19:$D$20, MATCH(K164, 'Summary Dynamic'!$C$19:$C$20, 0))="Include", INDEX('Summary Dynamic'!$D$25:$D$26, MATCH(L164, 'Summary Dynamic'!$C$25:$C$26, 0))="Include",'Summary Dynamic'!$D$23="Include"))</f>
        <v>1</v>
      </c>
      <c r="CN164" s="613">
        <f>IFERROR(IF(CM164=TRUE, COUNTIFS($CM$16:CM164, TRUE), ""), "")</f>
        <v>149</v>
      </c>
      <c r="CP164" s="614" t="str">
        <f t="shared" si="277"/>
        <v>Rural Private</v>
      </c>
      <c r="CY164" s="615"/>
      <c r="CZ164" s="616"/>
    </row>
    <row r="165" spans="2:104" x14ac:dyDescent="0.25">
      <c r="B165" s="617" t="str">
        <f t="shared" si="278"/>
        <v/>
      </c>
      <c r="C165" s="593"/>
      <c r="D165" s="594"/>
      <c r="E165" s="594"/>
      <c r="F165" s="407"/>
      <c r="G165" s="408"/>
      <c r="H165" s="408"/>
      <c r="I165" s="408"/>
      <c r="J165" s="408"/>
      <c r="K165" s="408"/>
      <c r="L165" s="408"/>
      <c r="M165" s="408"/>
      <c r="N165" s="595"/>
      <c r="O165" s="596"/>
      <c r="P165" s="596"/>
      <c r="Q165" s="597"/>
      <c r="R165" s="596"/>
      <c r="S165" s="596"/>
      <c r="T165" s="596"/>
      <c r="U165" s="598"/>
      <c r="V165" s="599"/>
      <c r="W165" s="600"/>
      <c r="X165" s="600"/>
      <c r="Y165" s="600"/>
      <c r="Z165" s="600">
        <f t="shared" si="282"/>
        <v>0</v>
      </c>
      <c r="AA165" s="600">
        <f t="shared" si="283"/>
        <v>0</v>
      </c>
      <c r="AB165" s="601" t="str">
        <f t="shared" si="234"/>
        <v/>
      </c>
      <c r="AC165" s="599"/>
      <c r="AD165" s="599"/>
      <c r="AE165" s="599"/>
      <c r="AF165" s="599" t="str">
        <f t="shared" si="235"/>
        <v/>
      </c>
      <c r="AG165" s="599"/>
      <c r="AH165" s="599"/>
      <c r="AI165" s="599"/>
      <c r="AJ165" s="599"/>
      <c r="AK165" s="602"/>
      <c r="AL165" s="603"/>
      <c r="AM165" s="600"/>
      <c r="AN165" s="600"/>
      <c r="AO165" s="600"/>
      <c r="AP165" s="600"/>
      <c r="AQ165" s="600"/>
      <c r="AR165" s="600"/>
      <c r="AS165" s="604"/>
      <c r="AT165" s="605"/>
      <c r="AU165" s="600"/>
      <c r="AV165" s="600"/>
      <c r="AW165" s="600"/>
      <c r="AX165" s="600"/>
      <c r="AY165" s="600"/>
      <c r="AZ165" s="600"/>
      <c r="BA165" s="600"/>
      <c r="BB165" s="600"/>
      <c r="BC165" s="600"/>
      <c r="BD165" s="600"/>
      <c r="BE165" s="600"/>
      <c r="BF165" s="600"/>
      <c r="BG165" s="600"/>
      <c r="BH165" s="600"/>
      <c r="BI165" s="600"/>
      <c r="BJ165" s="600"/>
      <c r="BK165" s="600"/>
      <c r="BL165" s="600"/>
      <c r="BM165" s="600"/>
      <c r="BN165" s="600"/>
      <c r="BO165" s="600"/>
      <c r="BP165" s="600"/>
      <c r="BQ165" s="600"/>
      <c r="BR165" s="600"/>
      <c r="BT165" s="606">
        <f t="shared" si="263"/>
        <v>1</v>
      </c>
      <c r="BU165" s="607">
        <f t="shared" si="264"/>
        <v>0</v>
      </c>
      <c r="BV165" s="606">
        <f t="shared" si="265"/>
        <v>1</v>
      </c>
      <c r="BW165" s="607">
        <f t="shared" si="266"/>
        <v>0</v>
      </c>
      <c r="BX165" s="607" t="str">
        <f t="shared" si="267"/>
        <v/>
      </c>
      <c r="BY165" s="607" t="str">
        <f t="shared" si="268"/>
        <v/>
      </c>
      <c r="BZ165" s="607" t="str">
        <f t="shared" si="269"/>
        <v/>
      </c>
      <c r="CA165" s="607" t="str">
        <f t="shared" si="270"/>
        <v/>
      </c>
      <c r="CB165" s="607" t="str">
        <f t="shared" si="288"/>
        <v/>
      </c>
      <c r="CC165" s="607" t="str">
        <f t="shared" si="271"/>
        <v/>
      </c>
      <c r="CD165" s="607" t="str">
        <f t="shared" si="272"/>
        <v/>
      </c>
      <c r="CE165" s="607" t="str">
        <f t="shared" si="273"/>
        <v/>
      </c>
      <c r="CF165" s="607"/>
      <c r="CG165" s="607"/>
      <c r="CH165" s="607" t="str">
        <f t="shared" si="276"/>
        <v/>
      </c>
      <c r="CI165" s="609"/>
      <c r="CK165" s="610" t="str">
        <f t="shared" si="289"/>
        <v/>
      </c>
      <c r="CL165" s="611" t="str">
        <f>IF(CK165="","",COUNTIFS($CK$16:CK165,"Yes")+MAX(State!AD:AD))</f>
        <v/>
      </c>
      <c r="CM165" s="612" t="str">
        <f>IF(C165="", "", AND(INDEX('Summary Dynamic'!$D$8:$D$10, MATCH(H165, 'Summary Dynamic'!$C$8:$C$10, 0))="Include", INDEX('Summary Dynamic'!$D$12:$D$14, MATCH(I165, 'Summary Dynamic'!$C$12:$C$14, 0))="Include", INDEX('Summary Dynamic'!$D$16:$D$17, MATCH(J165, 'Summary Dynamic'!$C$16:$C$17, 0))="Include", INDEX('Summary Dynamic'!$D$19:$D$20, MATCH(K165, 'Summary Dynamic'!$C$19:$C$20, 0))="Include", INDEX('Summary Dynamic'!$D$25:$D$26, MATCH(L165, 'Summary Dynamic'!$C$25:$C$26, 0))="Include",'Summary Dynamic'!$D$23="Include"))</f>
        <v/>
      </c>
      <c r="CN165" s="613" t="str">
        <f>IFERROR(IF(CM165=TRUE, COUNTIFS($CM$16:CM165, TRUE), ""), "")</f>
        <v/>
      </c>
      <c r="CP165" s="614">
        <f t="shared" si="277"/>
        <v>0</v>
      </c>
      <c r="CY165" s="615"/>
      <c r="CZ165" s="616"/>
    </row>
    <row r="166" spans="2:104" ht="15.75" thickBot="1" x14ac:dyDescent="0.3">
      <c r="B166" s="617" t="str">
        <f t="shared" si="278"/>
        <v/>
      </c>
      <c r="C166" s="593"/>
      <c r="D166" s="594"/>
      <c r="E166" s="594"/>
      <c r="F166" s="407"/>
      <c r="G166" s="408"/>
      <c r="H166" s="408"/>
      <c r="I166" s="408"/>
      <c r="J166" s="408"/>
      <c r="K166" s="408"/>
      <c r="L166" s="408"/>
      <c r="M166" s="408"/>
      <c r="N166" s="595"/>
      <c r="O166" s="596"/>
      <c r="P166" s="596"/>
      <c r="Q166" s="597"/>
      <c r="R166" s="596"/>
      <c r="S166" s="596"/>
      <c r="T166" s="596"/>
      <c r="U166" s="598"/>
      <c r="V166" s="599"/>
      <c r="W166" s="600"/>
      <c r="X166" s="600"/>
      <c r="Y166" s="600"/>
      <c r="Z166" s="600">
        <f t="shared" si="282"/>
        <v>0</v>
      </c>
      <c r="AA166" s="600">
        <f t="shared" si="283"/>
        <v>0</v>
      </c>
      <c r="AB166" s="601" t="str">
        <f t="shared" si="234"/>
        <v/>
      </c>
      <c r="AC166" s="599"/>
      <c r="AD166" s="599"/>
      <c r="AE166" s="599"/>
      <c r="AF166" s="599" t="str">
        <f t="shared" si="235"/>
        <v/>
      </c>
      <c r="AG166" s="599"/>
      <c r="AH166" s="599"/>
      <c r="AI166" s="599"/>
      <c r="AJ166" s="599"/>
      <c r="AK166" s="602"/>
      <c r="AL166" s="603"/>
      <c r="AM166" s="600"/>
      <c r="AN166" s="600"/>
      <c r="AO166" s="600"/>
      <c r="AP166" s="600"/>
      <c r="AQ166" s="600"/>
      <c r="AR166" s="600"/>
      <c r="AS166" s="604"/>
      <c r="AT166" s="605"/>
      <c r="AU166" s="600"/>
      <c r="AV166" s="600"/>
      <c r="AW166" s="600"/>
      <c r="AX166" s="600"/>
      <c r="AY166" s="600"/>
      <c r="AZ166" s="600"/>
      <c r="BA166" s="600"/>
      <c r="BB166" s="600"/>
      <c r="BC166" s="600"/>
      <c r="BD166" s="600"/>
      <c r="BE166" s="600"/>
      <c r="BF166" s="600"/>
      <c r="BG166" s="600"/>
      <c r="BH166" s="600"/>
      <c r="BI166" s="600"/>
      <c r="BJ166" s="600"/>
      <c r="BK166" s="600"/>
      <c r="BL166" s="600"/>
      <c r="BM166" s="600"/>
      <c r="BN166" s="600"/>
      <c r="BO166" s="600"/>
      <c r="BP166" s="600"/>
      <c r="BQ166" s="600"/>
      <c r="BR166" s="600"/>
      <c r="BT166" s="606">
        <f t="shared" si="263"/>
        <v>1</v>
      </c>
      <c r="BU166" s="607">
        <f t="shared" si="264"/>
        <v>0</v>
      </c>
      <c r="BV166" s="606">
        <f t="shared" si="265"/>
        <v>1</v>
      </c>
      <c r="BW166" s="607">
        <f t="shared" si="266"/>
        <v>0</v>
      </c>
      <c r="BX166" s="607" t="str">
        <f t="shared" si="267"/>
        <v/>
      </c>
      <c r="BY166" s="607" t="str">
        <f t="shared" si="268"/>
        <v/>
      </c>
      <c r="BZ166" s="607" t="str">
        <f t="shared" si="269"/>
        <v/>
      </c>
      <c r="CA166" s="607" t="str">
        <f t="shared" si="270"/>
        <v/>
      </c>
      <c r="CB166" s="607" t="str">
        <f t="shared" si="288"/>
        <v/>
      </c>
      <c r="CC166" s="607" t="str">
        <f t="shared" si="271"/>
        <v/>
      </c>
      <c r="CD166" s="607" t="str">
        <f t="shared" si="272"/>
        <v/>
      </c>
      <c r="CE166" s="607" t="str">
        <f t="shared" si="273"/>
        <v/>
      </c>
      <c r="CF166" s="607"/>
      <c r="CG166" s="607"/>
      <c r="CH166" s="607" t="str">
        <f t="shared" si="276"/>
        <v/>
      </c>
      <c r="CI166" s="609"/>
      <c r="CK166" s="610" t="str">
        <f t="shared" si="289"/>
        <v/>
      </c>
      <c r="CL166" s="611" t="str">
        <f>IF(CK166="","",COUNTIFS($CK$16:CK166,"Yes")+MAX(State!AD:AD))</f>
        <v/>
      </c>
      <c r="CM166" s="612" t="str">
        <f>IF(C166="", "", AND(INDEX('Summary Dynamic'!$D$8:$D$10, MATCH(H166, 'Summary Dynamic'!$C$8:$C$10, 0))="Include", INDEX('Summary Dynamic'!$D$12:$D$14, MATCH(I166, 'Summary Dynamic'!$C$12:$C$14, 0))="Include", INDEX('Summary Dynamic'!$D$16:$D$17, MATCH(J166, 'Summary Dynamic'!$C$16:$C$17, 0))="Include", INDEX('Summary Dynamic'!$D$19:$D$20, MATCH(K166, 'Summary Dynamic'!$C$19:$C$20, 0))="Include", INDEX('Summary Dynamic'!$D$25:$D$26, MATCH(L166, 'Summary Dynamic'!$C$25:$C$26, 0))="Include",'Summary Dynamic'!$D$23="Include"))</f>
        <v/>
      </c>
      <c r="CN166" s="613" t="str">
        <f>IFERROR(IF(CM166=TRUE, COUNTIFS($CM$16:CM166, TRUE), ""), "")</f>
        <v/>
      </c>
      <c r="CP166" s="623">
        <f t="shared" si="277"/>
        <v>0</v>
      </c>
      <c r="CY166" s="615"/>
      <c r="CZ166" s="616"/>
    </row>
    <row r="167" spans="2:104" x14ac:dyDescent="0.25">
      <c r="B167" s="617"/>
      <c r="C167" s="593"/>
      <c r="D167" s="594"/>
      <c r="E167" s="594"/>
      <c r="F167" s="407"/>
      <c r="G167" s="408"/>
      <c r="H167" s="408"/>
      <c r="I167" s="408"/>
      <c r="J167" s="408"/>
      <c r="K167" s="408"/>
      <c r="L167" s="408"/>
      <c r="M167" s="408"/>
      <c r="N167" s="595"/>
      <c r="O167" s="596"/>
      <c r="P167" s="596"/>
      <c r="Q167" s="597"/>
      <c r="R167" s="596"/>
      <c r="S167" s="596"/>
      <c r="T167" s="596"/>
      <c r="U167" s="598"/>
      <c r="V167" s="624"/>
      <c r="W167" s="600"/>
      <c r="X167" s="600"/>
      <c r="Y167" s="600"/>
      <c r="Z167" s="600"/>
      <c r="AA167" s="600"/>
      <c r="AB167" s="601"/>
      <c r="AC167" s="624"/>
      <c r="AD167" s="624"/>
      <c r="AE167" s="624"/>
      <c r="AF167" s="624"/>
      <c r="AG167" s="624"/>
      <c r="AH167" s="624"/>
      <c r="AI167" s="625"/>
      <c r="AJ167" s="626"/>
      <c r="AK167" s="602"/>
      <c r="AL167" s="627"/>
      <c r="AM167" s="600"/>
      <c r="AN167" s="600"/>
      <c r="AO167" s="600"/>
      <c r="AP167" s="600"/>
      <c r="AQ167" s="600"/>
      <c r="AR167" s="600"/>
      <c r="AS167" s="628" t="str">
        <f>IFERROR(IF(C167="","",IF(I167="Public",AR167/Federal_Match_Rate*State_Match_Rate,0)),0)</f>
        <v/>
      </c>
      <c r="AT167" s="605"/>
      <c r="AU167" s="600"/>
      <c r="AV167" s="600"/>
      <c r="AW167" s="600"/>
      <c r="AX167" s="600"/>
      <c r="AY167" s="600"/>
      <c r="AZ167" s="600"/>
      <c r="BA167" s="600"/>
      <c r="BB167" s="600"/>
      <c r="BC167" s="600"/>
      <c r="BD167" s="600"/>
      <c r="BE167" s="600"/>
      <c r="BF167" s="600"/>
      <c r="BG167" s="600"/>
      <c r="BH167" s="600"/>
      <c r="BI167" s="600"/>
      <c r="BJ167" s="600"/>
      <c r="BK167" s="600"/>
      <c r="BL167" s="600"/>
      <c r="BM167" s="600"/>
      <c r="BN167" s="600"/>
      <c r="BO167" s="600"/>
      <c r="BP167" s="600"/>
      <c r="BQ167" s="600"/>
      <c r="BR167" s="600"/>
      <c r="BT167" s="606"/>
      <c r="BU167" s="607"/>
      <c r="BV167" s="607"/>
      <c r="BW167" s="607"/>
      <c r="BX167" s="607"/>
      <c r="BY167" s="607"/>
      <c r="BZ167" s="607"/>
      <c r="CA167" s="607"/>
      <c r="CB167" s="607"/>
      <c r="CC167" s="607"/>
      <c r="CD167" s="607"/>
      <c r="CE167" s="607"/>
      <c r="CF167" s="607"/>
      <c r="CG167" s="607"/>
      <c r="CH167" s="607"/>
      <c r="CI167" s="609"/>
      <c r="CK167" s="610"/>
      <c r="CL167" s="611"/>
      <c r="CM167" s="612"/>
      <c r="CN167" s="613"/>
      <c r="CP167" s="472"/>
    </row>
    <row r="168" spans="2:104" x14ac:dyDescent="0.25">
      <c r="B168" s="617"/>
      <c r="C168" s="593"/>
      <c r="D168" s="594"/>
      <c r="E168" s="594"/>
      <c r="F168" s="407"/>
      <c r="G168" s="408"/>
      <c r="H168" s="408"/>
      <c r="I168" s="408"/>
      <c r="J168" s="408"/>
      <c r="K168" s="408"/>
      <c r="L168" s="408"/>
      <c r="M168" s="408"/>
      <c r="N168" s="595"/>
      <c r="O168" s="596"/>
      <c r="P168" s="596"/>
      <c r="Q168" s="597"/>
      <c r="R168" s="596"/>
      <c r="S168" s="596"/>
      <c r="T168" s="596"/>
      <c r="U168" s="598"/>
      <c r="V168" s="624"/>
      <c r="W168" s="600"/>
      <c r="X168" s="600"/>
      <c r="Y168" s="600"/>
      <c r="Z168" s="600"/>
      <c r="AA168" s="600"/>
      <c r="AB168" s="601"/>
      <c r="AC168" s="624"/>
      <c r="AD168" s="624"/>
      <c r="AE168" s="624"/>
      <c r="AF168" s="624"/>
      <c r="AG168" s="624"/>
      <c r="AH168" s="624"/>
      <c r="AI168" s="625"/>
      <c r="AJ168" s="626"/>
      <c r="AK168" s="602"/>
      <c r="AL168" s="627"/>
      <c r="AM168" s="600"/>
      <c r="AN168" s="600"/>
      <c r="AO168" s="600"/>
      <c r="AP168" s="600"/>
      <c r="AQ168" s="600"/>
      <c r="AR168" s="600"/>
      <c r="AS168" s="628" t="str">
        <f>IFERROR(IF(C168="","",IF(I168="Public",AR168/Federal_Match_Rate*State_Match_Rate,0)),0)</f>
        <v/>
      </c>
      <c r="AT168" s="605"/>
      <c r="AU168" s="600"/>
      <c r="AV168" s="600"/>
      <c r="AW168" s="600"/>
      <c r="AX168" s="600"/>
      <c r="AY168" s="600"/>
      <c r="AZ168" s="600"/>
      <c r="BA168" s="600"/>
      <c r="BB168" s="600"/>
      <c r="BC168" s="600"/>
      <c r="BD168" s="600"/>
      <c r="BE168" s="600"/>
      <c r="BF168" s="600"/>
      <c r="BG168" s="600"/>
      <c r="BH168" s="600"/>
      <c r="BI168" s="600"/>
      <c r="BJ168" s="600"/>
      <c r="BK168" s="600"/>
      <c r="BL168" s="600"/>
      <c r="BM168" s="600"/>
      <c r="BN168" s="600"/>
      <c r="BO168" s="600"/>
      <c r="BP168" s="600"/>
      <c r="BQ168" s="600"/>
      <c r="BR168" s="600"/>
      <c r="BT168" s="606"/>
      <c r="BU168" s="607"/>
      <c r="BV168" s="607"/>
      <c r="BW168" s="607"/>
      <c r="BX168" s="607"/>
      <c r="BY168" s="607"/>
      <c r="BZ168" s="607"/>
      <c r="CA168" s="607"/>
      <c r="CB168" s="607"/>
      <c r="CC168" s="607"/>
      <c r="CD168" s="607"/>
      <c r="CE168" s="607"/>
      <c r="CF168" s="607"/>
      <c r="CG168" s="607"/>
      <c r="CH168" s="607"/>
      <c r="CI168" s="609"/>
      <c r="CK168" s="610"/>
      <c r="CL168" s="611"/>
      <c r="CM168" s="612"/>
      <c r="CN168" s="613"/>
      <c r="CP168" s="472"/>
    </row>
    <row r="169" spans="2:104" x14ac:dyDescent="0.25">
      <c r="B169" s="617"/>
      <c r="C169" s="593"/>
      <c r="D169" s="594"/>
      <c r="E169" s="594"/>
      <c r="F169" s="407"/>
      <c r="G169" s="408"/>
      <c r="H169" s="408"/>
      <c r="I169" s="408"/>
      <c r="J169" s="408"/>
      <c r="K169" s="408"/>
      <c r="L169" s="408"/>
      <c r="M169" s="408"/>
      <c r="N169" s="595"/>
      <c r="O169" s="596"/>
      <c r="P169" s="596"/>
      <c r="Q169" s="597"/>
      <c r="R169" s="596"/>
      <c r="S169" s="596"/>
      <c r="T169" s="596"/>
      <c r="U169" s="598"/>
      <c r="V169" s="624"/>
      <c r="W169" s="600"/>
      <c r="X169" s="600"/>
      <c r="Y169" s="600"/>
      <c r="Z169" s="600"/>
      <c r="AA169" s="600"/>
      <c r="AB169" s="601"/>
      <c r="AC169" s="624"/>
      <c r="AD169" s="624"/>
      <c r="AE169" s="624"/>
      <c r="AF169" s="624"/>
      <c r="AG169" s="624"/>
      <c r="AH169" s="624"/>
      <c r="AI169" s="625"/>
      <c r="AJ169" s="626"/>
      <c r="AK169" s="602"/>
      <c r="AL169" s="627"/>
      <c r="AM169" s="600"/>
      <c r="AN169" s="600"/>
      <c r="AO169" s="600"/>
      <c r="AP169" s="600"/>
      <c r="AQ169" s="600"/>
      <c r="AR169" s="600"/>
      <c r="AS169" s="628"/>
      <c r="AT169" s="605"/>
      <c r="AU169" s="600"/>
      <c r="AV169" s="600"/>
      <c r="AW169" s="600"/>
      <c r="AX169" s="600"/>
      <c r="AY169" s="600"/>
      <c r="AZ169" s="600"/>
      <c r="BA169" s="600"/>
      <c r="BB169" s="600"/>
      <c r="BC169" s="600"/>
      <c r="BD169" s="600"/>
      <c r="BE169" s="600"/>
      <c r="BF169" s="600"/>
      <c r="BG169" s="600"/>
      <c r="BH169" s="600"/>
      <c r="BI169" s="600"/>
      <c r="BJ169" s="600"/>
      <c r="BK169" s="600"/>
      <c r="BL169" s="600"/>
      <c r="BM169" s="600"/>
      <c r="BN169" s="600"/>
      <c r="BO169" s="600"/>
      <c r="BP169" s="600"/>
      <c r="BQ169" s="600"/>
      <c r="BR169" s="600"/>
      <c r="BT169" s="606"/>
      <c r="BU169" s="607"/>
      <c r="BV169" s="607"/>
      <c r="BW169" s="607"/>
      <c r="BX169" s="607"/>
      <c r="BY169" s="607"/>
      <c r="BZ169" s="607"/>
      <c r="CA169" s="607"/>
      <c r="CB169" s="607"/>
      <c r="CC169" s="607"/>
      <c r="CD169" s="607"/>
      <c r="CE169" s="607"/>
      <c r="CF169" s="607"/>
      <c r="CG169" s="607"/>
      <c r="CH169" s="607"/>
      <c r="CI169" s="609"/>
      <c r="CK169" s="610"/>
      <c r="CL169" s="611"/>
      <c r="CM169" s="612"/>
      <c r="CN169" s="613"/>
      <c r="CP169" s="472"/>
    </row>
    <row r="170" spans="2:104" x14ac:dyDescent="0.25">
      <c r="B170" s="617"/>
      <c r="C170" s="593"/>
      <c r="D170" s="594"/>
      <c r="E170" s="594"/>
      <c r="F170" s="407"/>
      <c r="G170" s="408"/>
      <c r="H170" s="408"/>
      <c r="I170" s="408"/>
      <c r="J170" s="408"/>
      <c r="K170" s="408"/>
      <c r="L170" s="408"/>
      <c r="M170" s="408"/>
      <c r="N170" s="595"/>
      <c r="O170" s="596"/>
      <c r="P170" s="596"/>
      <c r="Q170" s="597"/>
      <c r="R170" s="596"/>
      <c r="S170" s="596"/>
      <c r="T170" s="596"/>
      <c r="U170" s="598"/>
      <c r="V170" s="624"/>
      <c r="W170" s="600"/>
      <c r="X170" s="600"/>
      <c r="Y170" s="600"/>
      <c r="Z170" s="600"/>
      <c r="AA170" s="600"/>
      <c r="AB170" s="601"/>
      <c r="AC170" s="624"/>
      <c r="AD170" s="624"/>
      <c r="AE170" s="624"/>
      <c r="AF170" s="624"/>
      <c r="AG170" s="624"/>
      <c r="AH170" s="624"/>
      <c r="AI170" s="625"/>
      <c r="AJ170" s="626"/>
      <c r="AK170" s="602"/>
      <c r="AL170" s="627"/>
      <c r="AM170" s="600"/>
      <c r="AN170" s="600"/>
      <c r="AO170" s="600"/>
      <c r="AP170" s="600"/>
      <c r="AQ170" s="600"/>
      <c r="AR170" s="600"/>
      <c r="AS170" s="628"/>
      <c r="AT170" s="605"/>
      <c r="AU170" s="600"/>
      <c r="AV170" s="600"/>
      <c r="AW170" s="600"/>
      <c r="AX170" s="600"/>
      <c r="AY170" s="600"/>
      <c r="AZ170" s="600"/>
      <c r="BA170" s="600"/>
      <c r="BB170" s="600"/>
      <c r="BC170" s="600"/>
      <c r="BD170" s="600"/>
      <c r="BE170" s="600"/>
      <c r="BF170" s="600"/>
      <c r="BG170" s="600"/>
      <c r="BH170" s="600"/>
      <c r="BI170" s="600"/>
      <c r="BJ170" s="600"/>
      <c r="BK170" s="600"/>
      <c r="BL170" s="600"/>
      <c r="BM170" s="600"/>
      <c r="BN170" s="600"/>
      <c r="BO170" s="600"/>
      <c r="BP170" s="600"/>
      <c r="BQ170" s="600"/>
      <c r="BR170" s="600"/>
      <c r="BT170" s="606"/>
      <c r="BU170" s="607"/>
      <c r="BV170" s="607"/>
      <c r="BW170" s="607"/>
      <c r="BX170" s="607"/>
      <c r="BY170" s="607"/>
      <c r="BZ170" s="607"/>
      <c r="CA170" s="607"/>
      <c r="CB170" s="607"/>
      <c r="CC170" s="607"/>
      <c r="CD170" s="607"/>
      <c r="CE170" s="607"/>
      <c r="CF170" s="607"/>
      <c r="CG170" s="607"/>
      <c r="CH170" s="607"/>
      <c r="CI170" s="609"/>
      <c r="CK170" s="610"/>
      <c r="CL170" s="611"/>
      <c r="CM170" s="612"/>
      <c r="CN170" s="613"/>
      <c r="CP170" s="472"/>
    </row>
    <row r="171" spans="2:104" x14ac:dyDescent="0.25">
      <c r="B171" s="617"/>
      <c r="C171" s="593"/>
      <c r="D171" s="594"/>
      <c r="E171" s="594"/>
      <c r="F171" s="407"/>
      <c r="G171" s="408"/>
      <c r="H171" s="408"/>
      <c r="I171" s="408"/>
      <c r="J171" s="408"/>
      <c r="K171" s="408"/>
      <c r="L171" s="408"/>
      <c r="M171" s="408"/>
      <c r="N171" s="595"/>
      <c r="O171" s="596"/>
      <c r="P171" s="596"/>
      <c r="Q171" s="597"/>
      <c r="R171" s="596"/>
      <c r="S171" s="596"/>
      <c r="T171" s="596"/>
      <c r="U171" s="598"/>
      <c r="V171" s="624"/>
      <c r="W171" s="600"/>
      <c r="X171" s="600"/>
      <c r="Y171" s="600"/>
      <c r="Z171" s="600"/>
      <c r="AA171" s="600"/>
      <c r="AB171" s="601"/>
      <c r="AC171" s="624"/>
      <c r="AD171" s="624"/>
      <c r="AE171" s="624"/>
      <c r="AF171" s="624"/>
      <c r="AG171" s="624"/>
      <c r="AH171" s="624"/>
      <c r="AI171" s="625"/>
      <c r="AJ171" s="626"/>
      <c r="AK171" s="602"/>
      <c r="AL171" s="627"/>
      <c r="AM171" s="600"/>
      <c r="AN171" s="600"/>
      <c r="AO171" s="600"/>
      <c r="AP171" s="600"/>
      <c r="AQ171" s="600"/>
      <c r="AR171" s="600"/>
      <c r="AS171" s="628"/>
      <c r="AT171" s="605"/>
      <c r="AU171" s="600"/>
      <c r="AV171" s="600"/>
      <c r="AW171" s="600"/>
      <c r="AX171" s="600"/>
      <c r="AY171" s="600"/>
      <c r="AZ171" s="600"/>
      <c r="BA171" s="600"/>
      <c r="BB171" s="600"/>
      <c r="BC171" s="600"/>
      <c r="BD171" s="600"/>
      <c r="BE171" s="600"/>
      <c r="BF171" s="600"/>
      <c r="BG171" s="600"/>
      <c r="BH171" s="600"/>
      <c r="BI171" s="600"/>
      <c r="BJ171" s="600"/>
      <c r="BK171" s="600"/>
      <c r="BL171" s="600"/>
      <c r="BM171" s="600"/>
      <c r="BN171" s="600"/>
      <c r="BO171" s="600"/>
      <c r="BP171" s="600"/>
      <c r="BQ171" s="600"/>
      <c r="BR171" s="600"/>
      <c r="BT171" s="606"/>
      <c r="BU171" s="607"/>
      <c r="BV171" s="607"/>
      <c r="BW171" s="607"/>
      <c r="BX171" s="607"/>
      <c r="BY171" s="607"/>
      <c r="BZ171" s="607"/>
      <c r="CA171" s="607"/>
      <c r="CB171" s="607"/>
      <c r="CC171" s="607"/>
      <c r="CD171" s="607"/>
      <c r="CE171" s="607"/>
      <c r="CF171" s="607"/>
      <c r="CG171" s="607"/>
      <c r="CH171" s="607"/>
      <c r="CI171" s="609"/>
      <c r="CK171" s="610"/>
      <c r="CL171" s="611"/>
      <c r="CM171" s="612"/>
      <c r="CN171" s="613"/>
      <c r="CP171" s="472"/>
    </row>
    <row r="172" spans="2:104" x14ac:dyDescent="0.25">
      <c r="B172" s="617"/>
      <c r="C172" s="593"/>
      <c r="D172" s="594"/>
      <c r="E172" s="594"/>
      <c r="F172" s="407"/>
      <c r="G172" s="408"/>
      <c r="H172" s="408"/>
      <c r="I172" s="408"/>
      <c r="J172" s="408"/>
      <c r="K172" s="408"/>
      <c r="L172" s="408"/>
      <c r="M172" s="408"/>
      <c r="N172" s="595"/>
      <c r="O172" s="596"/>
      <c r="P172" s="596"/>
      <c r="Q172" s="597"/>
      <c r="R172" s="596"/>
      <c r="S172" s="596"/>
      <c r="T172" s="596"/>
      <c r="U172" s="598"/>
      <c r="V172" s="624"/>
      <c r="W172" s="600"/>
      <c r="X172" s="600"/>
      <c r="Y172" s="600"/>
      <c r="Z172" s="600"/>
      <c r="AA172" s="600"/>
      <c r="AB172" s="601"/>
      <c r="AC172" s="624"/>
      <c r="AD172" s="624"/>
      <c r="AE172" s="624"/>
      <c r="AF172" s="624"/>
      <c r="AG172" s="624"/>
      <c r="AH172" s="624"/>
      <c r="AI172" s="625"/>
      <c r="AJ172" s="626"/>
      <c r="AK172" s="602"/>
      <c r="AL172" s="627"/>
      <c r="AM172" s="600"/>
      <c r="AN172" s="600"/>
      <c r="AO172" s="600"/>
      <c r="AP172" s="600"/>
      <c r="AQ172" s="600"/>
      <c r="AR172" s="600"/>
      <c r="AS172" s="628"/>
      <c r="AT172" s="605"/>
      <c r="AU172" s="600"/>
      <c r="AV172" s="600"/>
      <c r="AW172" s="600"/>
      <c r="AX172" s="600"/>
      <c r="AY172" s="600"/>
      <c r="AZ172" s="600"/>
      <c r="BA172" s="600"/>
      <c r="BB172" s="600"/>
      <c r="BC172" s="600"/>
      <c r="BD172" s="600"/>
      <c r="BE172" s="600"/>
      <c r="BF172" s="600"/>
      <c r="BG172" s="600"/>
      <c r="BH172" s="600"/>
      <c r="BI172" s="600"/>
      <c r="BJ172" s="600"/>
      <c r="BK172" s="600"/>
      <c r="BL172" s="600"/>
      <c r="BM172" s="600"/>
      <c r="BN172" s="600"/>
      <c r="BO172" s="600"/>
      <c r="BP172" s="600"/>
      <c r="BQ172" s="600"/>
      <c r="BR172" s="600"/>
      <c r="BT172" s="606"/>
      <c r="BU172" s="607"/>
      <c r="BV172" s="607"/>
      <c r="BW172" s="607"/>
      <c r="BX172" s="607"/>
      <c r="BY172" s="607"/>
      <c r="BZ172" s="607"/>
      <c r="CA172" s="607"/>
      <c r="CB172" s="607"/>
      <c r="CC172" s="607"/>
      <c r="CD172" s="607"/>
      <c r="CE172" s="607"/>
      <c r="CF172" s="607"/>
      <c r="CG172" s="607"/>
      <c r="CH172" s="607"/>
      <c r="CI172" s="609"/>
      <c r="CK172" s="610"/>
      <c r="CL172" s="611"/>
      <c r="CM172" s="612"/>
      <c r="CN172" s="613"/>
      <c r="CP172" s="472"/>
    </row>
    <row r="173" spans="2:104" x14ac:dyDescent="0.25">
      <c r="B173" s="617"/>
      <c r="C173" s="593"/>
      <c r="D173" s="594"/>
      <c r="E173" s="594"/>
      <c r="F173" s="407"/>
      <c r="G173" s="408"/>
      <c r="H173" s="408"/>
      <c r="I173" s="408"/>
      <c r="J173" s="408"/>
      <c r="K173" s="408"/>
      <c r="L173" s="408"/>
      <c r="M173" s="408"/>
      <c r="N173" s="595"/>
      <c r="O173" s="596"/>
      <c r="P173" s="596"/>
      <c r="Q173" s="597"/>
      <c r="R173" s="596"/>
      <c r="S173" s="596"/>
      <c r="T173" s="596"/>
      <c r="U173" s="598"/>
      <c r="V173" s="624"/>
      <c r="W173" s="600"/>
      <c r="X173" s="600"/>
      <c r="Y173" s="600"/>
      <c r="Z173" s="600"/>
      <c r="AA173" s="600"/>
      <c r="AB173" s="601"/>
      <c r="AC173" s="624"/>
      <c r="AD173" s="624"/>
      <c r="AE173" s="624"/>
      <c r="AF173" s="624"/>
      <c r="AG173" s="624"/>
      <c r="AH173" s="624"/>
      <c r="AI173" s="625"/>
      <c r="AJ173" s="626"/>
      <c r="AK173" s="602"/>
      <c r="AL173" s="627"/>
      <c r="AM173" s="600"/>
      <c r="AN173" s="600"/>
      <c r="AO173" s="600"/>
      <c r="AP173" s="600"/>
      <c r="AQ173" s="600"/>
      <c r="AR173" s="600"/>
      <c r="AS173" s="628"/>
      <c r="AT173" s="605"/>
      <c r="AU173" s="600"/>
      <c r="AV173" s="600"/>
      <c r="AW173" s="600"/>
      <c r="AX173" s="600"/>
      <c r="AY173" s="600"/>
      <c r="AZ173" s="600"/>
      <c r="BA173" s="600"/>
      <c r="BB173" s="600"/>
      <c r="BC173" s="600"/>
      <c r="BD173" s="600"/>
      <c r="BE173" s="600"/>
      <c r="BF173" s="600"/>
      <c r="BG173" s="600"/>
      <c r="BH173" s="600"/>
      <c r="BI173" s="600"/>
      <c r="BJ173" s="600"/>
      <c r="BK173" s="600"/>
      <c r="BL173" s="600"/>
      <c r="BM173" s="600"/>
      <c r="BN173" s="600"/>
      <c r="BO173" s="600"/>
      <c r="BP173" s="600"/>
      <c r="BQ173" s="600"/>
      <c r="BR173" s="600"/>
      <c r="BT173" s="606"/>
      <c r="BU173" s="607"/>
      <c r="BV173" s="607"/>
      <c r="BW173" s="607"/>
      <c r="BX173" s="607"/>
      <c r="BY173" s="607"/>
      <c r="BZ173" s="607"/>
      <c r="CA173" s="607"/>
      <c r="CB173" s="607"/>
      <c r="CC173" s="607"/>
      <c r="CD173" s="607"/>
      <c r="CE173" s="607"/>
      <c r="CF173" s="607"/>
      <c r="CG173" s="607"/>
      <c r="CH173" s="607"/>
      <c r="CI173" s="609"/>
      <c r="CK173" s="610"/>
      <c r="CL173" s="611"/>
      <c r="CM173" s="612"/>
      <c r="CN173" s="613"/>
      <c r="CP173" s="472"/>
    </row>
    <row r="174" spans="2:104" x14ac:dyDescent="0.25">
      <c r="B174" s="617"/>
      <c r="C174" s="593"/>
      <c r="D174" s="594"/>
      <c r="E174" s="594"/>
      <c r="F174" s="407"/>
      <c r="G174" s="408"/>
      <c r="H174" s="408"/>
      <c r="I174" s="408"/>
      <c r="J174" s="408"/>
      <c r="K174" s="408"/>
      <c r="L174" s="408"/>
      <c r="M174" s="408"/>
      <c r="N174" s="595"/>
      <c r="O174" s="596"/>
      <c r="P174" s="596"/>
      <c r="Q174" s="597"/>
      <c r="R174" s="596"/>
      <c r="S174" s="596"/>
      <c r="T174" s="596"/>
      <c r="U174" s="598"/>
      <c r="V174" s="624"/>
      <c r="W174" s="600"/>
      <c r="X174" s="600"/>
      <c r="Y174" s="600"/>
      <c r="Z174" s="600"/>
      <c r="AA174" s="600"/>
      <c r="AB174" s="601"/>
      <c r="AC174" s="624"/>
      <c r="AD174" s="624"/>
      <c r="AE174" s="624"/>
      <c r="AF174" s="624"/>
      <c r="AG174" s="624"/>
      <c r="AH174" s="624"/>
      <c r="AI174" s="625"/>
      <c r="AJ174" s="626"/>
      <c r="AK174" s="602"/>
      <c r="AL174" s="627"/>
      <c r="AM174" s="600"/>
      <c r="AN174" s="600"/>
      <c r="AO174" s="600"/>
      <c r="AP174" s="600"/>
      <c r="AQ174" s="600"/>
      <c r="AR174" s="600"/>
      <c r="AS174" s="628"/>
      <c r="AT174" s="605"/>
      <c r="AU174" s="600"/>
      <c r="AV174" s="600"/>
      <c r="AW174" s="600"/>
      <c r="AX174" s="600"/>
      <c r="AY174" s="600"/>
      <c r="AZ174" s="600"/>
      <c r="BA174" s="600"/>
      <c r="BB174" s="600"/>
      <c r="BC174" s="600"/>
      <c r="BD174" s="600"/>
      <c r="BE174" s="600"/>
      <c r="BF174" s="600"/>
      <c r="BG174" s="600"/>
      <c r="BH174" s="600"/>
      <c r="BI174" s="600"/>
      <c r="BJ174" s="600"/>
      <c r="BK174" s="600"/>
      <c r="BL174" s="600"/>
      <c r="BM174" s="600"/>
      <c r="BN174" s="600"/>
      <c r="BO174" s="600"/>
      <c r="BP174" s="600"/>
      <c r="BQ174" s="600"/>
      <c r="BR174" s="600"/>
      <c r="BT174" s="606"/>
      <c r="BU174" s="607"/>
      <c r="BV174" s="607"/>
      <c r="BW174" s="607"/>
      <c r="BX174" s="607"/>
      <c r="BY174" s="607"/>
      <c r="BZ174" s="607"/>
      <c r="CA174" s="607"/>
      <c r="CB174" s="607"/>
      <c r="CC174" s="607"/>
      <c r="CD174" s="607"/>
      <c r="CE174" s="607"/>
      <c r="CF174" s="607"/>
      <c r="CG174" s="607"/>
      <c r="CH174" s="607"/>
      <c r="CI174" s="609"/>
      <c r="CK174" s="610"/>
      <c r="CL174" s="611"/>
      <c r="CM174" s="612"/>
      <c r="CN174" s="613"/>
      <c r="CP174" s="472"/>
    </row>
    <row r="175" spans="2:104" x14ac:dyDescent="0.25">
      <c r="B175" s="617"/>
      <c r="C175" s="593"/>
      <c r="D175" s="594"/>
      <c r="E175" s="594"/>
      <c r="F175" s="407"/>
      <c r="G175" s="408"/>
      <c r="H175" s="408"/>
      <c r="I175" s="408"/>
      <c r="J175" s="408"/>
      <c r="K175" s="408"/>
      <c r="L175" s="408"/>
      <c r="M175" s="408"/>
      <c r="N175" s="595"/>
      <c r="O175" s="596"/>
      <c r="P175" s="596"/>
      <c r="Q175" s="597"/>
      <c r="R175" s="596"/>
      <c r="S175" s="596"/>
      <c r="T175" s="596"/>
      <c r="U175" s="598"/>
      <c r="V175" s="624"/>
      <c r="W175" s="600"/>
      <c r="X175" s="600"/>
      <c r="Y175" s="600"/>
      <c r="Z175" s="600"/>
      <c r="AA175" s="600"/>
      <c r="AB175" s="601"/>
      <c r="AC175" s="624"/>
      <c r="AD175" s="624"/>
      <c r="AE175" s="624"/>
      <c r="AF175" s="624"/>
      <c r="AG175" s="624"/>
      <c r="AH175" s="624"/>
      <c r="AI175" s="625"/>
      <c r="AJ175" s="626"/>
      <c r="AK175" s="602"/>
      <c r="AL175" s="627"/>
      <c r="AM175" s="600"/>
      <c r="AN175" s="600"/>
      <c r="AO175" s="600"/>
      <c r="AP175" s="600"/>
      <c r="AQ175" s="600"/>
      <c r="AR175" s="600"/>
      <c r="AS175" s="628"/>
      <c r="AT175" s="605"/>
      <c r="AU175" s="600"/>
      <c r="AV175" s="600"/>
      <c r="AW175" s="600"/>
      <c r="AX175" s="600"/>
      <c r="AY175" s="600"/>
      <c r="AZ175" s="600"/>
      <c r="BA175" s="600"/>
      <c r="BB175" s="600"/>
      <c r="BC175" s="600"/>
      <c r="BD175" s="600"/>
      <c r="BE175" s="600"/>
      <c r="BF175" s="600"/>
      <c r="BG175" s="600"/>
      <c r="BH175" s="600"/>
      <c r="BI175" s="600"/>
      <c r="BJ175" s="600"/>
      <c r="BK175" s="600"/>
      <c r="BL175" s="600"/>
      <c r="BM175" s="600"/>
      <c r="BN175" s="600"/>
      <c r="BO175" s="600"/>
      <c r="BP175" s="600"/>
      <c r="BQ175" s="600"/>
      <c r="BR175" s="600"/>
      <c r="BT175" s="606"/>
      <c r="BU175" s="607"/>
      <c r="BV175" s="607"/>
      <c r="BW175" s="607"/>
      <c r="BX175" s="607"/>
      <c r="BY175" s="607"/>
      <c r="BZ175" s="607"/>
      <c r="CA175" s="607"/>
      <c r="CB175" s="607"/>
      <c r="CC175" s="607"/>
      <c r="CD175" s="607"/>
      <c r="CE175" s="607"/>
      <c r="CF175" s="607"/>
      <c r="CG175" s="607"/>
      <c r="CH175" s="607"/>
      <c r="CI175" s="609"/>
      <c r="CK175" s="610"/>
      <c r="CL175" s="611"/>
      <c r="CM175" s="612"/>
      <c r="CN175" s="613"/>
      <c r="CP175" s="472"/>
    </row>
    <row r="176" spans="2:104" x14ac:dyDescent="0.25">
      <c r="B176" s="617"/>
      <c r="C176" s="593"/>
      <c r="D176" s="594"/>
      <c r="E176" s="594"/>
      <c r="F176" s="407"/>
      <c r="G176" s="408"/>
      <c r="H176" s="408"/>
      <c r="I176" s="408"/>
      <c r="J176" s="408"/>
      <c r="K176" s="408"/>
      <c r="L176" s="408"/>
      <c r="M176" s="408"/>
      <c r="N176" s="595"/>
      <c r="O176" s="596"/>
      <c r="P176" s="596"/>
      <c r="Q176" s="597"/>
      <c r="R176" s="596"/>
      <c r="S176" s="596"/>
      <c r="T176" s="596"/>
      <c r="U176" s="598"/>
      <c r="V176" s="624"/>
      <c r="W176" s="600"/>
      <c r="X176" s="600"/>
      <c r="Y176" s="600"/>
      <c r="Z176" s="600"/>
      <c r="AA176" s="600"/>
      <c r="AB176" s="601"/>
      <c r="AC176" s="624"/>
      <c r="AD176" s="624"/>
      <c r="AE176" s="624"/>
      <c r="AF176" s="624"/>
      <c r="AG176" s="624"/>
      <c r="AH176" s="624"/>
      <c r="AI176" s="625"/>
      <c r="AJ176" s="626"/>
      <c r="AK176" s="602"/>
      <c r="AL176" s="627"/>
      <c r="AM176" s="600"/>
      <c r="AN176" s="600"/>
      <c r="AO176" s="600"/>
      <c r="AP176" s="600"/>
      <c r="AQ176" s="600"/>
      <c r="AR176" s="600"/>
      <c r="AS176" s="628"/>
      <c r="AT176" s="605"/>
      <c r="AU176" s="600"/>
      <c r="AV176" s="600"/>
      <c r="AW176" s="600"/>
      <c r="AX176" s="600"/>
      <c r="AY176" s="600"/>
      <c r="AZ176" s="600"/>
      <c r="BA176" s="600"/>
      <c r="BB176" s="600"/>
      <c r="BC176" s="600"/>
      <c r="BD176" s="600"/>
      <c r="BE176" s="600"/>
      <c r="BF176" s="600"/>
      <c r="BG176" s="600"/>
      <c r="BH176" s="600"/>
      <c r="BI176" s="600"/>
      <c r="BJ176" s="600"/>
      <c r="BK176" s="600"/>
      <c r="BL176" s="600"/>
      <c r="BM176" s="600"/>
      <c r="BN176" s="600"/>
      <c r="BO176" s="600"/>
      <c r="BP176" s="600"/>
      <c r="BQ176" s="600"/>
      <c r="BR176" s="600"/>
      <c r="BT176" s="606"/>
      <c r="BU176" s="607"/>
      <c r="BV176" s="607"/>
      <c r="BW176" s="607"/>
      <c r="BX176" s="607"/>
      <c r="BY176" s="607"/>
      <c r="BZ176" s="607"/>
      <c r="CA176" s="607"/>
      <c r="CB176" s="607"/>
      <c r="CC176" s="607"/>
      <c r="CD176" s="607"/>
      <c r="CE176" s="607"/>
      <c r="CF176" s="607"/>
      <c r="CG176" s="607"/>
      <c r="CH176" s="607"/>
      <c r="CI176" s="609"/>
      <c r="CK176" s="610"/>
      <c r="CL176" s="611"/>
      <c r="CM176" s="612"/>
      <c r="CN176" s="613"/>
      <c r="CP176" s="472"/>
    </row>
    <row r="177" spans="2:94" x14ac:dyDescent="0.25">
      <c r="B177" s="617"/>
      <c r="C177" s="593"/>
      <c r="D177" s="594"/>
      <c r="E177" s="594"/>
      <c r="F177" s="407"/>
      <c r="G177" s="408"/>
      <c r="H177" s="408"/>
      <c r="I177" s="408"/>
      <c r="J177" s="408"/>
      <c r="K177" s="408"/>
      <c r="L177" s="408"/>
      <c r="M177" s="408"/>
      <c r="N177" s="595"/>
      <c r="O177" s="596"/>
      <c r="P177" s="596"/>
      <c r="Q177" s="597"/>
      <c r="R177" s="596"/>
      <c r="S177" s="596"/>
      <c r="T177" s="596"/>
      <c r="U177" s="598"/>
      <c r="V177" s="624"/>
      <c r="W177" s="600"/>
      <c r="X177" s="600"/>
      <c r="Y177" s="600"/>
      <c r="Z177" s="600"/>
      <c r="AA177" s="600"/>
      <c r="AB177" s="601"/>
      <c r="AC177" s="624"/>
      <c r="AD177" s="624"/>
      <c r="AE177" s="624"/>
      <c r="AF177" s="624"/>
      <c r="AG177" s="624"/>
      <c r="AH177" s="624"/>
      <c r="AI177" s="625"/>
      <c r="AJ177" s="626"/>
      <c r="AK177" s="602"/>
      <c r="AL177" s="627"/>
      <c r="AM177" s="600"/>
      <c r="AN177" s="600"/>
      <c r="AO177" s="600"/>
      <c r="AP177" s="600"/>
      <c r="AQ177" s="600"/>
      <c r="AR177" s="600"/>
      <c r="AS177" s="628"/>
      <c r="AT177" s="605"/>
      <c r="AU177" s="600"/>
      <c r="AV177" s="600"/>
      <c r="AW177" s="600"/>
      <c r="AX177" s="600"/>
      <c r="AY177" s="600"/>
      <c r="AZ177" s="600"/>
      <c r="BA177" s="600"/>
      <c r="BB177" s="600"/>
      <c r="BC177" s="600"/>
      <c r="BD177" s="600"/>
      <c r="BE177" s="600"/>
      <c r="BF177" s="600"/>
      <c r="BG177" s="600"/>
      <c r="BH177" s="600"/>
      <c r="BI177" s="600"/>
      <c r="BJ177" s="600"/>
      <c r="BK177" s="600"/>
      <c r="BL177" s="600"/>
      <c r="BM177" s="600"/>
      <c r="BN177" s="600"/>
      <c r="BO177" s="600"/>
      <c r="BP177" s="600"/>
      <c r="BQ177" s="600"/>
      <c r="BR177" s="600"/>
      <c r="BT177" s="606"/>
      <c r="BU177" s="607"/>
      <c r="BV177" s="607"/>
      <c r="BW177" s="607"/>
      <c r="BX177" s="607"/>
      <c r="BY177" s="607"/>
      <c r="BZ177" s="607"/>
      <c r="CA177" s="607"/>
      <c r="CB177" s="607"/>
      <c r="CC177" s="607"/>
      <c r="CD177" s="607"/>
      <c r="CE177" s="607"/>
      <c r="CF177" s="607"/>
      <c r="CG177" s="607"/>
      <c r="CH177" s="607"/>
      <c r="CI177" s="609"/>
      <c r="CK177" s="610"/>
      <c r="CL177" s="611"/>
      <c r="CM177" s="612"/>
      <c r="CN177" s="613"/>
      <c r="CP177" s="472"/>
    </row>
    <row r="178" spans="2:94" x14ac:dyDescent="0.25">
      <c r="B178" s="617"/>
      <c r="C178" s="593"/>
      <c r="D178" s="594"/>
      <c r="E178" s="594"/>
      <c r="F178" s="407"/>
      <c r="G178" s="408"/>
      <c r="H178" s="408"/>
      <c r="I178" s="408"/>
      <c r="J178" s="408"/>
      <c r="K178" s="408"/>
      <c r="L178" s="408"/>
      <c r="M178" s="408"/>
      <c r="N178" s="595"/>
      <c r="O178" s="596"/>
      <c r="P178" s="596"/>
      <c r="Q178" s="597"/>
      <c r="R178" s="596"/>
      <c r="S178" s="596"/>
      <c r="T178" s="596"/>
      <c r="U178" s="598"/>
      <c r="V178" s="624"/>
      <c r="W178" s="600"/>
      <c r="X178" s="600"/>
      <c r="Y178" s="600"/>
      <c r="Z178" s="600"/>
      <c r="AA178" s="600"/>
      <c r="AB178" s="601"/>
      <c r="AC178" s="624"/>
      <c r="AD178" s="624"/>
      <c r="AE178" s="624"/>
      <c r="AF178" s="624"/>
      <c r="AG178" s="624"/>
      <c r="AH178" s="624"/>
      <c r="AI178" s="625"/>
      <c r="AJ178" s="626"/>
      <c r="AK178" s="602"/>
      <c r="AL178" s="627"/>
      <c r="AM178" s="600"/>
      <c r="AN178" s="600"/>
      <c r="AO178" s="600"/>
      <c r="AP178" s="600"/>
      <c r="AQ178" s="600"/>
      <c r="AR178" s="600"/>
      <c r="AS178" s="628"/>
      <c r="AT178" s="605"/>
      <c r="AU178" s="600"/>
      <c r="AV178" s="600"/>
      <c r="AW178" s="600"/>
      <c r="AX178" s="600"/>
      <c r="AY178" s="600"/>
      <c r="AZ178" s="600"/>
      <c r="BA178" s="600"/>
      <c r="BB178" s="600"/>
      <c r="BC178" s="600"/>
      <c r="BD178" s="600"/>
      <c r="BE178" s="600"/>
      <c r="BF178" s="600"/>
      <c r="BG178" s="600"/>
      <c r="BH178" s="600"/>
      <c r="BI178" s="600"/>
      <c r="BJ178" s="600"/>
      <c r="BK178" s="600"/>
      <c r="BL178" s="600"/>
      <c r="BM178" s="600"/>
      <c r="BN178" s="600"/>
      <c r="BO178" s="600"/>
      <c r="BP178" s="600"/>
      <c r="BQ178" s="600"/>
      <c r="BR178" s="600"/>
      <c r="BT178" s="606"/>
      <c r="BU178" s="607"/>
      <c r="BV178" s="607"/>
      <c r="BW178" s="607"/>
      <c r="BX178" s="607"/>
      <c r="BY178" s="607"/>
      <c r="BZ178" s="607"/>
      <c r="CA178" s="607"/>
      <c r="CB178" s="607"/>
      <c r="CC178" s="607"/>
      <c r="CD178" s="607"/>
      <c r="CE178" s="607"/>
      <c r="CF178" s="607"/>
      <c r="CG178" s="607"/>
      <c r="CH178" s="607"/>
      <c r="CI178" s="609"/>
      <c r="CK178" s="610"/>
      <c r="CL178" s="611"/>
      <c r="CM178" s="612"/>
      <c r="CN178" s="613"/>
      <c r="CP178" s="472"/>
    </row>
    <row r="179" spans="2:94" x14ac:dyDescent="0.25">
      <c r="B179" s="617"/>
      <c r="C179" s="593"/>
      <c r="D179" s="594"/>
      <c r="E179" s="594"/>
      <c r="F179" s="407"/>
      <c r="G179" s="408"/>
      <c r="H179" s="408"/>
      <c r="I179" s="408"/>
      <c r="J179" s="408"/>
      <c r="K179" s="408"/>
      <c r="L179" s="408"/>
      <c r="M179" s="408"/>
      <c r="N179" s="595"/>
      <c r="O179" s="596"/>
      <c r="P179" s="596"/>
      <c r="Q179" s="597"/>
      <c r="R179" s="596"/>
      <c r="S179" s="596"/>
      <c r="T179" s="596"/>
      <c r="U179" s="598"/>
      <c r="V179" s="624"/>
      <c r="W179" s="600"/>
      <c r="X179" s="600"/>
      <c r="Y179" s="600"/>
      <c r="Z179" s="600"/>
      <c r="AA179" s="600"/>
      <c r="AB179" s="601"/>
      <c r="AC179" s="624"/>
      <c r="AD179" s="624"/>
      <c r="AE179" s="624"/>
      <c r="AF179" s="624"/>
      <c r="AG179" s="624"/>
      <c r="AH179" s="624"/>
      <c r="AI179" s="625"/>
      <c r="AJ179" s="626"/>
      <c r="AK179" s="602"/>
      <c r="AL179" s="627"/>
      <c r="AM179" s="600"/>
      <c r="AN179" s="600"/>
      <c r="AO179" s="600"/>
      <c r="AP179" s="600"/>
      <c r="AQ179" s="600"/>
      <c r="AR179" s="600"/>
      <c r="AS179" s="628"/>
      <c r="AT179" s="605"/>
      <c r="AU179" s="600"/>
      <c r="AV179" s="600"/>
      <c r="AW179" s="600"/>
      <c r="AX179" s="600"/>
      <c r="AY179" s="600"/>
      <c r="AZ179" s="600"/>
      <c r="BA179" s="600"/>
      <c r="BB179" s="600"/>
      <c r="BC179" s="600"/>
      <c r="BD179" s="600"/>
      <c r="BE179" s="600"/>
      <c r="BF179" s="600"/>
      <c r="BG179" s="600"/>
      <c r="BH179" s="600"/>
      <c r="BI179" s="600"/>
      <c r="BJ179" s="600"/>
      <c r="BK179" s="600"/>
      <c r="BL179" s="600"/>
      <c r="BM179" s="600"/>
      <c r="BN179" s="600"/>
      <c r="BO179" s="600"/>
      <c r="BP179" s="600"/>
      <c r="BQ179" s="600"/>
      <c r="BR179" s="600"/>
      <c r="BT179" s="606"/>
      <c r="BU179" s="607"/>
      <c r="BV179" s="607"/>
      <c r="BW179" s="607"/>
      <c r="BX179" s="607"/>
      <c r="BY179" s="607"/>
      <c r="BZ179" s="607"/>
      <c r="CA179" s="607"/>
      <c r="CB179" s="607"/>
      <c r="CC179" s="607"/>
      <c r="CD179" s="607"/>
      <c r="CE179" s="607"/>
      <c r="CF179" s="607"/>
      <c r="CG179" s="607"/>
      <c r="CH179" s="607"/>
      <c r="CI179" s="609"/>
      <c r="CK179" s="610"/>
      <c r="CL179" s="611"/>
      <c r="CM179" s="612"/>
      <c r="CN179" s="613"/>
      <c r="CP179" s="472"/>
    </row>
    <row r="180" spans="2:94" x14ac:dyDescent="0.25">
      <c r="B180" s="617"/>
      <c r="C180" s="593"/>
      <c r="D180" s="594"/>
      <c r="E180" s="594"/>
      <c r="F180" s="407"/>
      <c r="G180" s="408"/>
      <c r="H180" s="408"/>
      <c r="I180" s="408"/>
      <c r="J180" s="408"/>
      <c r="K180" s="408"/>
      <c r="L180" s="408"/>
      <c r="M180" s="408"/>
      <c r="N180" s="595"/>
      <c r="O180" s="596"/>
      <c r="P180" s="596"/>
      <c r="Q180" s="597"/>
      <c r="R180" s="596"/>
      <c r="S180" s="596"/>
      <c r="T180" s="596"/>
      <c r="U180" s="598"/>
      <c r="V180" s="624"/>
      <c r="W180" s="600"/>
      <c r="X180" s="600"/>
      <c r="Y180" s="600"/>
      <c r="Z180" s="600"/>
      <c r="AA180" s="600"/>
      <c r="AB180" s="601"/>
      <c r="AC180" s="624"/>
      <c r="AD180" s="624"/>
      <c r="AE180" s="624"/>
      <c r="AF180" s="624"/>
      <c r="AG180" s="624"/>
      <c r="AH180" s="624"/>
      <c r="AI180" s="625"/>
      <c r="AJ180" s="626"/>
      <c r="AK180" s="602"/>
      <c r="AL180" s="627"/>
      <c r="AM180" s="600"/>
      <c r="AN180" s="600"/>
      <c r="AO180" s="600"/>
      <c r="AP180" s="600"/>
      <c r="AQ180" s="600"/>
      <c r="AR180" s="600"/>
      <c r="AS180" s="628"/>
      <c r="AT180" s="605"/>
      <c r="AU180" s="600"/>
      <c r="AV180" s="600"/>
      <c r="AW180" s="600"/>
      <c r="AX180" s="600"/>
      <c r="AY180" s="600"/>
      <c r="AZ180" s="600"/>
      <c r="BA180" s="600"/>
      <c r="BB180" s="600"/>
      <c r="BC180" s="600"/>
      <c r="BD180" s="600"/>
      <c r="BE180" s="600"/>
      <c r="BF180" s="600"/>
      <c r="BG180" s="600"/>
      <c r="BH180" s="600"/>
      <c r="BI180" s="600"/>
      <c r="BJ180" s="600"/>
      <c r="BK180" s="600"/>
      <c r="BL180" s="600"/>
      <c r="BM180" s="600"/>
      <c r="BN180" s="600"/>
      <c r="BO180" s="600"/>
      <c r="BP180" s="600"/>
      <c r="BQ180" s="600"/>
      <c r="BR180" s="600"/>
      <c r="BT180" s="606"/>
      <c r="BU180" s="607"/>
      <c r="BV180" s="607"/>
      <c r="BW180" s="607"/>
      <c r="BX180" s="607"/>
      <c r="BY180" s="607"/>
      <c r="BZ180" s="607"/>
      <c r="CA180" s="607"/>
      <c r="CB180" s="607"/>
      <c r="CC180" s="607"/>
      <c r="CD180" s="607"/>
      <c r="CE180" s="607"/>
      <c r="CF180" s="607"/>
      <c r="CG180" s="607"/>
      <c r="CH180" s="607"/>
      <c r="CI180" s="609"/>
      <c r="CK180" s="610"/>
      <c r="CL180" s="611"/>
      <c r="CM180" s="612"/>
      <c r="CN180" s="613"/>
      <c r="CP180" s="472"/>
    </row>
    <row r="181" spans="2:94" x14ac:dyDescent="0.25">
      <c r="B181" s="617"/>
      <c r="C181" s="593"/>
      <c r="D181" s="594"/>
      <c r="E181" s="594"/>
      <c r="F181" s="407"/>
      <c r="G181" s="408"/>
      <c r="H181" s="408"/>
      <c r="I181" s="408"/>
      <c r="J181" s="408"/>
      <c r="K181" s="408"/>
      <c r="L181" s="408"/>
      <c r="M181" s="408"/>
      <c r="N181" s="595"/>
      <c r="O181" s="596"/>
      <c r="P181" s="596"/>
      <c r="Q181" s="597"/>
      <c r="R181" s="596"/>
      <c r="S181" s="596"/>
      <c r="T181" s="596"/>
      <c r="U181" s="598"/>
      <c r="V181" s="624"/>
      <c r="W181" s="600"/>
      <c r="X181" s="600"/>
      <c r="Y181" s="600"/>
      <c r="Z181" s="600"/>
      <c r="AA181" s="600"/>
      <c r="AB181" s="601"/>
      <c r="AC181" s="624"/>
      <c r="AD181" s="624"/>
      <c r="AE181" s="624"/>
      <c r="AF181" s="624"/>
      <c r="AG181" s="624"/>
      <c r="AH181" s="624"/>
      <c r="AI181" s="625"/>
      <c r="AJ181" s="626"/>
      <c r="AK181" s="602"/>
      <c r="AL181" s="627"/>
      <c r="AM181" s="600"/>
      <c r="AN181" s="600"/>
      <c r="AO181" s="600"/>
      <c r="AP181" s="600"/>
      <c r="AQ181" s="600"/>
      <c r="AR181" s="600"/>
      <c r="AS181" s="628"/>
      <c r="AT181" s="605"/>
      <c r="AU181" s="600"/>
      <c r="AV181" s="600"/>
      <c r="AW181" s="600"/>
      <c r="AX181" s="600"/>
      <c r="AY181" s="600"/>
      <c r="AZ181" s="600"/>
      <c r="BA181" s="600"/>
      <c r="BB181" s="600"/>
      <c r="BC181" s="600"/>
      <c r="BD181" s="600"/>
      <c r="BE181" s="600"/>
      <c r="BF181" s="600"/>
      <c r="BG181" s="600"/>
      <c r="BH181" s="600"/>
      <c r="BI181" s="600"/>
      <c r="BJ181" s="600"/>
      <c r="BK181" s="600"/>
      <c r="BL181" s="600"/>
      <c r="BM181" s="600"/>
      <c r="BN181" s="600"/>
      <c r="BO181" s="600"/>
      <c r="BP181" s="600"/>
      <c r="BQ181" s="600"/>
      <c r="BR181" s="600"/>
      <c r="BT181" s="606"/>
      <c r="BU181" s="607"/>
      <c r="BV181" s="607"/>
      <c r="BW181" s="607"/>
      <c r="BX181" s="607"/>
      <c r="BY181" s="607"/>
      <c r="BZ181" s="607"/>
      <c r="CA181" s="607"/>
      <c r="CB181" s="607"/>
      <c r="CC181" s="607"/>
      <c r="CD181" s="607"/>
      <c r="CE181" s="607"/>
      <c r="CF181" s="607"/>
      <c r="CG181" s="607"/>
      <c r="CH181" s="607"/>
      <c r="CI181" s="609"/>
      <c r="CK181" s="610"/>
      <c r="CL181" s="611"/>
      <c r="CM181" s="612"/>
      <c r="CN181" s="613"/>
      <c r="CP181" s="472"/>
    </row>
    <row r="182" spans="2:94" x14ac:dyDescent="0.25">
      <c r="B182" s="617"/>
      <c r="C182" s="593"/>
      <c r="D182" s="594"/>
      <c r="E182" s="594"/>
      <c r="F182" s="407"/>
      <c r="G182" s="408"/>
      <c r="H182" s="408"/>
      <c r="I182" s="408"/>
      <c r="J182" s="408"/>
      <c r="K182" s="408"/>
      <c r="L182" s="408"/>
      <c r="M182" s="408"/>
      <c r="N182" s="595"/>
      <c r="O182" s="596"/>
      <c r="P182" s="596"/>
      <c r="Q182" s="597"/>
      <c r="R182" s="596"/>
      <c r="S182" s="596"/>
      <c r="T182" s="596"/>
      <c r="U182" s="598"/>
      <c r="V182" s="624"/>
      <c r="W182" s="600"/>
      <c r="X182" s="600"/>
      <c r="Y182" s="600"/>
      <c r="Z182" s="600"/>
      <c r="AA182" s="600"/>
      <c r="AB182" s="601"/>
      <c r="AC182" s="624"/>
      <c r="AD182" s="624"/>
      <c r="AE182" s="624"/>
      <c r="AF182" s="624"/>
      <c r="AG182" s="624"/>
      <c r="AH182" s="624"/>
      <c r="AI182" s="625"/>
      <c r="AJ182" s="626"/>
      <c r="AK182" s="602"/>
      <c r="AL182" s="627"/>
      <c r="AM182" s="600"/>
      <c r="AN182" s="600"/>
      <c r="AO182" s="600"/>
      <c r="AP182" s="600"/>
      <c r="AQ182" s="600"/>
      <c r="AR182" s="600"/>
      <c r="AS182" s="628"/>
      <c r="AT182" s="605"/>
      <c r="AU182" s="600"/>
      <c r="AV182" s="600"/>
      <c r="AW182" s="600"/>
      <c r="AX182" s="600"/>
      <c r="AY182" s="600"/>
      <c r="AZ182" s="600"/>
      <c r="BA182" s="600"/>
      <c r="BB182" s="600"/>
      <c r="BC182" s="600"/>
      <c r="BD182" s="600"/>
      <c r="BE182" s="600"/>
      <c r="BF182" s="600"/>
      <c r="BG182" s="600"/>
      <c r="BH182" s="600"/>
      <c r="BI182" s="600"/>
      <c r="BJ182" s="600"/>
      <c r="BK182" s="600"/>
      <c r="BL182" s="600"/>
      <c r="BM182" s="600"/>
      <c r="BN182" s="600"/>
      <c r="BO182" s="600"/>
      <c r="BP182" s="600"/>
      <c r="BQ182" s="600"/>
      <c r="BR182" s="600"/>
      <c r="BT182" s="606"/>
      <c r="BU182" s="607"/>
      <c r="BV182" s="607"/>
      <c r="BW182" s="607"/>
      <c r="BX182" s="607"/>
      <c r="BY182" s="607"/>
      <c r="BZ182" s="607"/>
      <c r="CA182" s="607"/>
      <c r="CB182" s="607"/>
      <c r="CC182" s="607"/>
      <c r="CD182" s="607"/>
      <c r="CE182" s="607"/>
      <c r="CF182" s="607"/>
      <c r="CG182" s="607"/>
      <c r="CH182" s="607"/>
      <c r="CI182" s="609"/>
      <c r="CK182" s="610"/>
      <c r="CL182" s="611"/>
      <c r="CM182" s="612"/>
      <c r="CN182" s="613"/>
      <c r="CP182" s="472"/>
    </row>
    <row r="183" spans="2:94" x14ac:dyDescent="0.25">
      <c r="B183" s="617"/>
      <c r="C183" s="593"/>
      <c r="D183" s="594"/>
      <c r="E183" s="594"/>
      <c r="F183" s="407"/>
      <c r="G183" s="408"/>
      <c r="H183" s="408"/>
      <c r="I183" s="408"/>
      <c r="J183" s="408"/>
      <c r="K183" s="408"/>
      <c r="L183" s="408"/>
      <c r="M183" s="408"/>
      <c r="N183" s="595"/>
      <c r="O183" s="596"/>
      <c r="P183" s="596"/>
      <c r="Q183" s="597"/>
      <c r="R183" s="596"/>
      <c r="S183" s="596"/>
      <c r="T183" s="596"/>
      <c r="U183" s="598"/>
      <c r="V183" s="624"/>
      <c r="W183" s="600"/>
      <c r="X183" s="600"/>
      <c r="Y183" s="600"/>
      <c r="Z183" s="600"/>
      <c r="AA183" s="600"/>
      <c r="AB183" s="601"/>
      <c r="AC183" s="624"/>
      <c r="AD183" s="624"/>
      <c r="AE183" s="624"/>
      <c r="AF183" s="624"/>
      <c r="AG183" s="624"/>
      <c r="AH183" s="624"/>
      <c r="AI183" s="625"/>
      <c r="AJ183" s="626"/>
      <c r="AK183" s="602"/>
      <c r="AL183" s="627"/>
      <c r="AM183" s="600"/>
      <c r="AN183" s="600"/>
      <c r="AO183" s="600"/>
      <c r="AP183" s="600"/>
      <c r="AQ183" s="600"/>
      <c r="AR183" s="600"/>
      <c r="AS183" s="628"/>
      <c r="AT183" s="605"/>
      <c r="AU183" s="600"/>
      <c r="AV183" s="600"/>
      <c r="AW183" s="600"/>
      <c r="AX183" s="600"/>
      <c r="AY183" s="600"/>
      <c r="AZ183" s="600"/>
      <c r="BA183" s="600"/>
      <c r="BB183" s="600"/>
      <c r="BC183" s="600"/>
      <c r="BD183" s="600"/>
      <c r="BE183" s="600"/>
      <c r="BF183" s="600"/>
      <c r="BG183" s="600"/>
      <c r="BH183" s="600"/>
      <c r="BI183" s="600"/>
      <c r="BJ183" s="600"/>
      <c r="BK183" s="600"/>
      <c r="BL183" s="600"/>
      <c r="BM183" s="600"/>
      <c r="BN183" s="600"/>
      <c r="BO183" s="600"/>
      <c r="BP183" s="600"/>
      <c r="BQ183" s="600"/>
      <c r="BR183" s="600"/>
      <c r="BT183" s="606"/>
      <c r="BU183" s="607"/>
      <c r="BV183" s="607"/>
      <c r="BW183" s="607"/>
      <c r="BX183" s="607"/>
      <c r="BY183" s="607"/>
      <c r="BZ183" s="607"/>
      <c r="CA183" s="607"/>
      <c r="CB183" s="607"/>
      <c r="CC183" s="607"/>
      <c r="CD183" s="607"/>
      <c r="CE183" s="607"/>
      <c r="CF183" s="607"/>
      <c r="CG183" s="607"/>
      <c r="CH183" s="607"/>
      <c r="CI183" s="609"/>
      <c r="CK183" s="610"/>
      <c r="CL183" s="611"/>
      <c r="CM183" s="612"/>
      <c r="CN183" s="613"/>
      <c r="CP183" s="472"/>
    </row>
    <row r="184" spans="2:94" x14ac:dyDescent="0.25">
      <c r="B184" s="617"/>
      <c r="C184" s="593"/>
      <c r="D184" s="594"/>
      <c r="E184" s="594"/>
      <c r="F184" s="407"/>
      <c r="G184" s="408"/>
      <c r="H184" s="408"/>
      <c r="I184" s="408"/>
      <c r="J184" s="408"/>
      <c r="K184" s="408"/>
      <c r="L184" s="408"/>
      <c r="M184" s="408"/>
      <c r="N184" s="595"/>
      <c r="O184" s="596"/>
      <c r="P184" s="596"/>
      <c r="Q184" s="597"/>
      <c r="R184" s="596"/>
      <c r="S184" s="596"/>
      <c r="T184" s="596"/>
      <c r="U184" s="598"/>
      <c r="V184" s="624"/>
      <c r="W184" s="600"/>
      <c r="X184" s="600"/>
      <c r="Y184" s="600"/>
      <c r="Z184" s="600"/>
      <c r="AA184" s="600"/>
      <c r="AB184" s="601"/>
      <c r="AC184" s="624"/>
      <c r="AD184" s="624"/>
      <c r="AE184" s="624"/>
      <c r="AF184" s="624"/>
      <c r="AG184" s="624"/>
      <c r="AH184" s="624"/>
      <c r="AI184" s="625"/>
      <c r="AJ184" s="626"/>
      <c r="AK184" s="602"/>
      <c r="AL184" s="627"/>
      <c r="AM184" s="600"/>
      <c r="AN184" s="600"/>
      <c r="AO184" s="600"/>
      <c r="AP184" s="600"/>
      <c r="AQ184" s="600"/>
      <c r="AR184" s="600"/>
      <c r="AS184" s="628"/>
      <c r="AT184" s="605"/>
      <c r="AU184" s="600"/>
      <c r="AV184" s="600"/>
      <c r="AW184" s="600"/>
      <c r="AX184" s="600"/>
      <c r="AY184" s="600"/>
      <c r="AZ184" s="600"/>
      <c r="BA184" s="600"/>
      <c r="BB184" s="600"/>
      <c r="BC184" s="600"/>
      <c r="BD184" s="600"/>
      <c r="BE184" s="600"/>
      <c r="BF184" s="600"/>
      <c r="BG184" s="600"/>
      <c r="BH184" s="600"/>
      <c r="BI184" s="600"/>
      <c r="BJ184" s="600"/>
      <c r="BK184" s="600"/>
      <c r="BL184" s="600"/>
      <c r="BM184" s="600"/>
      <c r="BN184" s="600"/>
      <c r="BO184" s="600"/>
      <c r="BP184" s="600"/>
      <c r="BQ184" s="600"/>
      <c r="BR184" s="600"/>
      <c r="BT184" s="606"/>
      <c r="BU184" s="607"/>
      <c r="BV184" s="607"/>
      <c r="BW184" s="607"/>
      <c r="BX184" s="607"/>
      <c r="BY184" s="607"/>
      <c r="BZ184" s="607"/>
      <c r="CA184" s="607"/>
      <c r="CB184" s="607"/>
      <c r="CC184" s="607"/>
      <c r="CD184" s="607"/>
      <c r="CE184" s="607"/>
      <c r="CF184" s="607"/>
      <c r="CG184" s="607"/>
      <c r="CH184" s="607"/>
      <c r="CI184" s="609"/>
      <c r="CK184" s="610"/>
      <c r="CL184" s="611"/>
      <c r="CM184" s="612"/>
      <c r="CN184" s="613"/>
      <c r="CP184" s="472"/>
    </row>
    <row r="185" spans="2:94" x14ac:dyDescent="0.25">
      <c r="B185" s="617"/>
      <c r="C185" s="593"/>
      <c r="D185" s="594"/>
      <c r="E185" s="594"/>
      <c r="F185" s="407"/>
      <c r="G185" s="408"/>
      <c r="H185" s="408"/>
      <c r="I185" s="408"/>
      <c r="J185" s="408"/>
      <c r="K185" s="408"/>
      <c r="L185" s="408"/>
      <c r="M185" s="408"/>
      <c r="N185" s="595"/>
      <c r="O185" s="596"/>
      <c r="P185" s="596"/>
      <c r="Q185" s="597"/>
      <c r="R185" s="596"/>
      <c r="S185" s="596"/>
      <c r="T185" s="596"/>
      <c r="U185" s="598"/>
      <c r="V185" s="624"/>
      <c r="W185" s="600"/>
      <c r="X185" s="600"/>
      <c r="Y185" s="600"/>
      <c r="Z185" s="600"/>
      <c r="AA185" s="600"/>
      <c r="AB185" s="601"/>
      <c r="AC185" s="624"/>
      <c r="AD185" s="624"/>
      <c r="AE185" s="624"/>
      <c r="AF185" s="624"/>
      <c r="AG185" s="624"/>
      <c r="AH185" s="624"/>
      <c r="AI185" s="625"/>
      <c r="AJ185" s="626"/>
      <c r="AK185" s="602"/>
      <c r="AL185" s="627"/>
      <c r="AM185" s="600"/>
      <c r="AN185" s="600"/>
      <c r="AO185" s="600"/>
      <c r="AP185" s="600"/>
      <c r="AQ185" s="600"/>
      <c r="AR185" s="600"/>
      <c r="AS185" s="628"/>
      <c r="AT185" s="605"/>
      <c r="AU185" s="600"/>
      <c r="AV185" s="600"/>
      <c r="AW185" s="600"/>
      <c r="AX185" s="600"/>
      <c r="AY185" s="600"/>
      <c r="AZ185" s="600"/>
      <c r="BA185" s="600"/>
      <c r="BB185" s="600"/>
      <c r="BC185" s="600"/>
      <c r="BD185" s="600"/>
      <c r="BE185" s="600"/>
      <c r="BF185" s="600"/>
      <c r="BG185" s="600"/>
      <c r="BH185" s="600"/>
      <c r="BI185" s="600"/>
      <c r="BJ185" s="600"/>
      <c r="BK185" s="600"/>
      <c r="BL185" s="600"/>
      <c r="BM185" s="600"/>
      <c r="BN185" s="600"/>
      <c r="BO185" s="600"/>
      <c r="BP185" s="600"/>
      <c r="BQ185" s="600"/>
      <c r="BR185" s="600"/>
      <c r="BT185" s="606"/>
      <c r="BU185" s="607"/>
      <c r="BV185" s="607"/>
      <c r="BW185" s="607"/>
      <c r="BX185" s="607"/>
      <c r="BY185" s="607"/>
      <c r="BZ185" s="607"/>
      <c r="CA185" s="607"/>
      <c r="CB185" s="607"/>
      <c r="CC185" s="607"/>
      <c r="CD185" s="607"/>
      <c r="CE185" s="607"/>
      <c r="CF185" s="607"/>
      <c r="CG185" s="607"/>
      <c r="CH185" s="607"/>
      <c r="CI185" s="609"/>
      <c r="CK185" s="610"/>
      <c r="CL185" s="611"/>
      <c r="CM185" s="612"/>
      <c r="CN185" s="613"/>
      <c r="CP185" s="472"/>
    </row>
    <row r="186" spans="2:94" x14ac:dyDescent="0.25">
      <c r="B186" s="617"/>
      <c r="C186" s="593"/>
      <c r="D186" s="594"/>
      <c r="E186" s="594"/>
      <c r="F186" s="407"/>
      <c r="G186" s="408"/>
      <c r="H186" s="408"/>
      <c r="I186" s="408"/>
      <c r="J186" s="408"/>
      <c r="K186" s="408"/>
      <c r="L186" s="408"/>
      <c r="M186" s="408"/>
      <c r="N186" s="595"/>
      <c r="O186" s="596"/>
      <c r="P186" s="596"/>
      <c r="Q186" s="597"/>
      <c r="R186" s="596"/>
      <c r="S186" s="596"/>
      <c r="T186" s="596"/>
      <c r="U186" s="598"/>
      <c r="V186" s="624"/>
      <c r="W186" s="600"/>
      <c r="X186" s="600"/>
      <c r="Y186" s="600"/>
      <c r="Z186" s="600"/>
      <c r="AA186" s="600"/>
      <c r="AB186" s="601"/>
      <c r="AC186" s="624"/>
      <c r="AD186" s="624"/>
      <c r="AE186" s="624"/>
      <c r="AF186" s="624"/>
      <c r="AG186" s="624"/>
      <c r="AH186" s="624"/>
      <c r="AI186" s="625"/>
      <c r="AJ186" s="626"/>
      <c r="AK186" s="602"/>
      <c r="AL186" s="627"/>
      <c r="AM186" s="600"/>
      <c r="AN186" s="600"/>
      <c r="AO186" s="600"/>
      <c r="AP186" s="600"/>
      <c r="AQ186" s="600"/>
      <c r="AR186" s="600"/>
      <c r="AS186" s="628"/>
      <c r="AT186" s="605"/>
      <c r="AU186" s="600"/>
      <c r="AV186" s="600"/>
      <c r="AW186" s="600"/>
      <c r="AX186" s="600"/>
      <c r="AY186" s="600"/>
      <c r="AZ186" s="600"/>
      <c r="BA186" s="600"/>
      <c r="BB186" s="600"/>
      <c r="BC186" s="600"/>
      <c r="BD186" s="600"/>
      <c r="BE186" s="600"/>
      <c r="BF186" s="600"/>
      <c r="BG186" s="600"/>
      <c r="BH186" s="600"/>
      <c r="BI186" s="600"/>
      <c r="BJ186" s="600"/>
      <c r="BK186" s="600"/>
      <c r="BL186" s="600"/>
      <c r="BM186" s="600"/>
      <c r="BN186" s="600"/>
      <c r="BO186" s="600"/>
      <c r="BP186" s="600"/>
      <c r="BQ186" s="600"/>
      <c r="BR186" s="600"/>
      <c r="BT186" s="606"/>
      <c r="BU186" s="607"/>
      <c r="BV186" s="607"/>
      <c r="BW186" s="607"/>
      <c r="BX186" s="607"/>
      <c r="BY186" s="607"/>
      <c r="BZ186" s="607"/>
      <c r="CA186" s="607"/>
      <c r="CB186" s="607"/>
      <c r="CC186" s="607"/>
      <c r="CD186" s="607"/>
      <c r="CE186" s="607"/>
      <c r="CF186" s="607"/>
      <c r="CG186" s="607"/>
      <c r="CH186" s="607"/>
      <c r="CI186" s="609"/>
      <c r="CK186" s="610"/>
      <c r="CL186" s="611"/>
      <c r="CM186" s="612"/>
      <c r="CN186" s="613"/>
      <c r="CP186" s="472"/>
    </row>
    <row r="187" spans="2:94" x14ac:dyDescent="0.25">
      <c r="B187" s="617"/>
      <c r="C187" s="593"/>
      <c r="D187" s="594"/>
      <c r="E187" s="594"/>
      <c r="F187" s="407"/>
      <c r="G187" s="408"/>
      <c r="H187" s="408"/>
      <c r="I187" s="408"/>
      <c r="J187" s="408"/>
      <c r="K187" s="408"/>
      <c r="L187" s="408"/>
      <c r="M187" s="408"/>
      <c r="N187" s="595"/>
      <c r="O187" s="596"/>
      <c r="P187" s="596"/>
      <c r="Q187" s="597"/>
      <c r="R187" s="596"/>
      <c r="S187" s="596"/>
      <c r="T187" s="596"/>
      <c r="U187" s="598"/>
      <c r="V187" s="624"/>
      <c r="W187" s="600"/>
      <c r="X187" s="600"/>
      <c r="Y187" s="600"/>
      <c r="Z187" s="600"/>
      <c r="AA187" s="600"/>
      <c r="AB187" s="601"/>
      <c r="AC187" s="624"/>
      <c r="AD187" s="624"/>
      <c r="AE187" s="624"/>
      <c r="AF187" s="624"/>
      <c r="AG187" s="624"/>
      <c r="AH187" s="624"/>
      <c r="AI187" s="625"/>
      <c r="AJ187" s="626"/>
      <c r="AK187" s="602"/>
      <c r="AL187" s="627"/>
      <c r="AM187" s="600"/>
      <c r="AN187" s="600"/>
      <c r="AO187" s="600"/>
      <c r="AP187" s="600"/>
      <c r="AQ187" s="600"/>
      <c r="AR187" s="600"/>
      <c r="AS187" s="628"/>
      <c r="AT187" s="605"/>
      <c r="AU187" s="600"/>
      <c r="AV187" s="600"/>
      <c r="AW187" s="600"/>
      <c r="AX187" s="600"/>
      <c r="AY187" s="600"/>
      <c r="AZ187" s="600"/>
      <c r="BA187" s="600"/>
      <c r="BB187" s="600"/>
      <c r="BC187" s="600"/>
      <c r="BD187" s="600"/>
      <c r="BE187" s="600"/>
      <c r="BF187" s="600"/>
      <c r="BG187" s="600"/>
      <c r="BH187" s="600"/>
      <c r="BI187" s="600"/>
      <c r="BJ187" s="600"/>
      <c r="BK187" s="600"/>
      <c r="BL187" s="600"/>
      <c r="BM187" s="600"/>
      <c r="BN187" s="600"/>
      <c r="BO187" s="600"/>
      <c r="BP187" s="600"/>
      <c r="BQ187" s="600"/>
      <c r="BR187" s="600"/>
      <c r="BT187" s="606"/>
      <c r="BU187" s="607"/>
      <c r="BV187" s="607"/>
      <c r="BW187" s="607"/>
      <c r="BX187" s="607"/>
      <c r="BY187" s="607"/>
      <c r="BZ187" s="607"/>
      <c r="CA187" s="607"/>
      <c r="CB187" s="607"/>
      <c r="CC187" s="607"/>
      <c r="CD187" s="607"/>
      <c r="CE187" s="607"/>
      <c r="CF187" s="607"/>
      <c r="CG187" s="607"/>
      <c r="CH187" s="607"/>
      <c r="CI187" s="609"/>
      <c r="CK187" s="610"/>
      <c r="CL187" s="611"/>
      <c r="CM187" s="612"/>
      <c r="CN187" s="613"/>
      <c r="CP187" s="472"/>
    </row>
    <row r="188" spans="2:94" x14ac:dyDescent="0.25">
      <c r="B188" s="617"/>
      <c r="C188" s="593"/>
      <c r="D188" s="594"/>
      <c r="E188" s="594"/>
      <c r="F188" s="407"/>
      <c r="G188" s="408"/>
      <c r="H188" s="408"/>
      <c r="I188" s="408"/>
      <c r="J188" s="408"/>
      <c r="K188" s="408"/>
      <c r="L188" s="408"/>
      <c r="M188" s="408"/>
      <c r="N188" s="595"/>
      <c r="O188" s="596"/>
      <c r="P188" s="596"/>
      <c r="Q188" s="597"/>
      <c r="R188" s="596"/>
      <c r="S188" s="596"/>
      <c r="T188" s="596"/>
      <c r="U188" s="598"/>
      <c r="V188" s="624"/>
      <c r="W188" s="600"/>
      <c r="X188" s="600"/>
      <c r="Y188" s="600"/>
      <c r="Z188" s="600"/>
      <c r="AA188" s="600"/>
      <c r="AB188" s="601"/>
      <c r="AC188" s="624"/>
      <c r="AD188" s="624"/>
      <c r="AE188" s="624"/>
      <c r="AF188" s="624"/>
      <c r="AG188" s="624"/>
      <c r="AH188" s="624"/>
      <c r="AI188" s="625"/>
      <c r="AJ188" s="626"/>
      <c r="AK188" s="602"/>
      <c r="AL188" s="627"/>
      <c r="AM188" s="600"/>
      <c r="AN188" s="600"/>
      <c r="AO188" s="600"/>
      <c r="AP188" s="600"/>
      <c r="AQ188" s="600"/>
      <c r="AR188" s="600"/>
      <c r="AS188" s="628"/>
      <c r="AT188" s="605"/>
      <c r="AU188" s="600"/>
      <c r="AV188" s="600"/>
      <c r="AW188" s="600"/>
      <c r="AX188" s="600"/>
      <c r="AY188" s="600"/>
      <c r="AZ188" s="600"/>
      <c r="BA188" s="600"/>
      <c r="BB188" s="600"/>
      <c r="BC188" s="600"/>
      <c r="BD188" s="600"/>
      <c r="BE188" s="600"/>
      <c r="BF188" s="600"/>
      <c r="BG188" s="600"/>
      <c r="BH188" s="600"/>
      <c r="BI188" s="600"/>
      <c r="BJ188" s="600"/>
      <c r="BK188" s="600"/>
      <c r="BL188" s="600"/>
      <c r="BM188" s="600"/>
      <c r="BN188" s="600"/>
      <c r="BO188" s="600"/>
      <c r="BP188" s="600"/>
      <c r="BQ188" s="600"/>
      <c r="BR188" s="600"/>
      <c r="BT188" s="606"/>
      <c r="BU188" s="607"/>
      <c r="BV188" s="607"/>
      <c r="BW188" s="607"/>
      <c r="BX188" s="607"/>
      <c r="BY188" s="607"/>
      <c r="BZ188" s="607"/>
      <c r="CA188" s="607"/>
      <c r="CB188" s="607"/>
      <c r="CC188" s="607"/>
      <c r="CD188" s="607"/>
      <c r="CE188" s="607"/>
      <c r="CF188" s="607"/>
      <c r="CG188" s="607"/>
      <c r="CH188" s="607"/>
      <c r="CI188" s="609"/>
      <c r="CK188" s="610"/>
      <c r="CL188" s="611"/>
      <c r="CM188" s="612"/>
      <c r="CN188" s="613"/>
      <c r="CP188" s="472"/>
    </row>
    <row r="189" spans="2:94" x14ac:dyDescent="0.25">
      <c r="B189" s="617"/>
      <c r="C189" s="593"/>
      <c r="D189" s="594"/>
      <c r="E189" s="594"/>
      <c r="F189" s="407"/>
      <c r="G189" s="408"/>
      <c r="H189" s="408"/>
      <c r="I189" s="408"/>
      <c r="J189" s="408"/>
      <c r="K189" s="408"/>
      <c r="L189" s="408"/>
      <c r="M189" s="408"/>
      <c r="N189" s="595"/>
      <c r="O189" s="596"/>
      <c r="P189" s="596"/>
      <c r="Q189" s="597"/>
      <c r="R189" s="596"/>
      <c r="S189" s="596"/>
      <c r="T189" s="596"/>
      <c r="U189" s="598"/>
      <c r="V189" s="624"/>
      <c r="W189" s="600"/>
      <c r="X189" s="600"/>
      <c r="Y189" s="600"/>
      <c r="Z189" s="600"/>
      <c r="AA189" s="600"/>
      <c r="AB189" s="601"/>
      <c r="AC189" s="624"/>
      <c r="AD189" s="624"/>
      <c r="AE189" s="624"/>
      <c r="AF189" s="624"/>
      <c r="AG189" s="624"/>
      <c r="AH189" s="624"/>
      <c r="AI189" s="625"/>
      <c r="AJ189" s="626"/>
      <c r="AK189" s="602"/>
      <c r="AL189" s="627"/>
      <c r="AM189" s="600"/>
      <c r="AN189" s="600"/>
      <c r="AO189" s="600"/>
      <c r="AP189" s="600"/>
      <c r="AQ189" s="600"/>
      <c r="AR189" s="600"/>
      <c r="AS189" s="628"/>
      <c r="AT189" s="605"/>
      <c r="AU189" s="600"/>
      <c r="AV189" s="600"/>
      <c r="AW189" s="600"/>
      <c r="AX189" s="600"/>
      <c r="AY189" s="600"/>
      <c r="AZ189" s="600"/>
      <c r="BA189" s="600"/>
      <c r="BB189" s="600"/>
      <c r="BC189" s="600"/>
      <c r="BD189" s="600"/>
      <c r="BE189" s="600"/>
      <c r="BF189" s="600"/>
      <c r="BG189" s="600"/>
      <c r="BH189" s="600"/>
      <c r="BI189" s="600"/>
      <c r="BJ189" s="600"/>
      <c r="BK189" s="600"/>
      <c r="BL189" s="600"/>
      <c r="BM189" s="600"/>
      <c r="BN189" s="600"/>
      <c r="BO189" s="600"/>
      <c r="BP189" s="600"/>
      <c r="BQ189" s="600"/>
      <c r="BR189" s="600"/>
      <c r="BT189" s="606"/>
      <c r="BU189" s="607"/>
      <c r="BV189" s="607"/>
      <c r="BW189" s="607"/>
      <c r="BX189" s="607"/>
      <c r="BY189" s="607"/>
      <c r="BZ189" s="607"/>
      <c r="CA189" s="607"/>
      <c r="CB189" s="607"/>
      <c r="CC189" s="607"/>
      <c r="CD189" s="607"/>
      <c r="CE189" s="607"/>
      <c r="CF189" s="607"/>
      <c r="CG189" s="607"/>
      <c r="CH189" s="607"/>
      <c r="CI189" s="609"/>
      <c r="CK189" s="610"/>
      <c r="CL189" s="611"/>
      <c r="CM189" s="612"/>
      <c r="CN189" s="613"/>
      <c r="CP189" s="472"/>
    </row>
    <row r="190" spans="2:94" x14ac:dyDescent="0.25">
      <c r="B190" s="617"/>
      <c r="C190" s="593"/>
      <c r="D190" s="594"/>
      <c r="E190" s="594"/>
      <c r="F190" s="407"/>
      <c r="G190" s="408"/>
      <c r="H190" s="408"/>
      <c r="I190" s="408"/>
      <c r="J190" s="408"/>
      <c r="K190" s="408"/>
      <c r="L190" s="408"/>
      <c r="M190" s="408"/>
      <c r="N190" s="595"/>
      <c r="O190" s="596"/>
      <c r="P190" s="596"/>
      <c r="Q190" s="597"/>
      <c r="R190" s="596"/>
      <c r="S190" s="596"/>
      <c r="T190" s="596"/>
      <c r="U190" s="598"/>
      <c r="V190" s="624"/>
      <c r="W190" s="600"/>
      <c r="X190" s="600"/>
      <c r="Y190" s="600"/>
      <c r="Z190" s="600"/>
      <c r="AA190" s="600"/>
      <c r="AB190" s="601"/>
      <c r="AC190" s="624"/>
      <c r="AD190" s="624"/>
      <c r="AE190" s="624"/>
      <c r="AF190" s="624"/>
      <c r="AG190" s="624"/>
      <c r="AH190" s="624"/>
      <c r="AI190" s="625"/>
      <c r="AJ190" s="626"/>
      <c r="AK190" s="602"/>
      <c r="AL190" s="627"/>
      <c r="AM190" s="600"/>
      <c r="AN190" s="600"/>
      <c r="AO190" s="600"/>
      <c r="AP190" s="600"/>
      <c r="AQ190" s="600"/>
      <c r="AR190" s="600"/>
      <c r="AS190" s="628"/>
      <c r="AT190" s="605"/>
      <c r="AU190" s="600"/>
      <c r="AV190" s="600"/>
      <c r="AW190" s="600"/>
      <c r="AX190" s="600"/>
      <c r="AY190" s="600"/>
      <c r="AZ190" s="600"/>
      <c r="BA190" s="600"/>
      <c r="BB190" s="600"/>
      <c r="BC190" s="600"/>
      <c r="BD190" s="600"/>
      <c r="BE190" s="600"/>
      <c r="BF190" s="600"/>
      <c r="BG190" s="600"/>
      <c r="BH190" s="600"/>
      <c r="BI190" s="600"/>
      <c r="BJ190" s="600"/>
      <c r="BK190" s="600"/>
      <c r="BL190" s="600"/>
      <c r="BM190" s="600"/>
      <c r="BN190" s="600"/>
      <c r="BO190" s="600"/>
      <c r="BP190" s="600"/>
      <c r="BQ190" s="600"/>
      <c r="BR190" s="600"/>
      <c r="BT190" s="606"/>
      <c r="BU190" s="607"/>
      <c r="BV190" s="607"/>
      <c r="BW190" s="607"/>
      <c r="BX190" s="607"/>
      <c r="BY190" s="607"/>
      <c r="BZ190" s="607"/>
      <c r="CA190" s="607"/>
      <c r="CB190" s="607"/>
      <c r="CC190" s="607"/>
      <c r="CD190" s="607"/>
      <c r="CE190" s="607"/>
      <c r="CF190" s="607"/>
      <c r="CG190" s="607"/>
      <c r="CH190" s="607"/>
      <c r="CI190" s="609"/>
      <c r="CK190" s="610"/>
      <c r="CL190" s="611"/>
      <c r="CM190" s="612"/>
      <c r="CN190" s="613"/>
      <c r="CP190" s="472"/>
    </row>
    <row r="191" spans="2:94" x14ac:dyDescent="0.25">
      <c r="B191" s="617"/>
      <c r="C191" s="593"/>
      <c r="D191" s="594"/>
      <c r="E191" s="594"/>
      <c r="F191" s="407"/>
      <c r="G191" s="408"/>
      <c r="H191" s="408"/>
      <c r="I191" s="408"/>
      <c r="J191" s="408"/>
      <c r="K191" s="408"/>
      <c r="L191" s="408"/>
      <c r="M191" s="408"/>
      <c r="N191" s="595"/>
      <c r="O191" s="596"/>
      <c r="P191" s="596"/>
      <c r="Q191" s="597"/>
      <c r="R191" s="596"/>
      <c r="S191" s="596"/>
      <c r="T191" s="596"/>
      <c r="U191" s="598"/>
      <c r="V191" s="624"/>
      <c r="W191" s="600"/>
      <c r="X191" s="600"/>
      <c r="Y191" s="600"/>
      <c r="Z191" s="600"/>
      <c r="AA191" s="600"/>
      <c r="AB191" s="601"/>
      <c r="AC191" s="624"/>
      <c r="AD191" s="624"/>
      <c r="AE191" s="624"/>
      <c r="AF191" s="624"/>
      <c r="AG191" s="624"/>
      <c r="AH191" s="624"/>
      <c r="AI191" s="625"/>
      <c r="AJ191" s="626"/>
      <c r="AK191" s="602"/>
      <c r="AL191" s="627"/>
      <c r="AM191" s="600"/>
      <c r="AN191" s="600"/>
      <c r="AO191" s="600"/>
      <c r="AP191" s="600"/>
      <c r="AQ191" s="600"/>
      <c r="AR191" s="600"/>
      <c r="AS191" s="628"/>
      <c r="AT191" s="605"/>
      <c r="AU191" s="600"/>
      <c r="AV191" s="600"/>
      <c r="AW191" s="600"/>
      <c r="AX191" s="600"/>
      <c r="AY191" s="600"/>
      <c r="AZ191" s="600"/>
      <c r="BA191" s="600"/>
      <c r="BB191" s="600"/>
      <c r="BC191" s="600"/>
      <c r="BD191" s="600"/>
      <c r="BE191" s="600"/>
      <c r="BF191" s="600"/>
      <c r="BG191" s="600"/>
      <c r="BH191" s="600"/>
      <c r="BI191" s="600"/>
      <c r="BJ191" s="600"/>
      <c r="BK191" s="600"/>
      <c r="BL191" s="600"/>
      <c r="BM191" s="600"/>
      <c r="BN191" s="600"/>
      <c r="BO191" s="600"/>
      <c r="BP191" s="600"/>
      <c r="BQ191" s="600"/>
      <c r="BR191" s="600"/>
      <c r="BT191" s="606"/>
      <c r="BU191" s="607"/>
      <c r="BV191" s="607"/>
      <c r="BW191" s="607"/>
      <c r="BX191" s="607"/>
      <c r="BY191" s="607"/>
      <c r="BZ191" s="607"/>
      <c r="CA191" s="607"/>
      <c r="CB191" s="607"/>
      <c r="CC191" s="607"/>
      <c r="CD191" s="607"/>
      <c r="CE191" s="607"/>
      <c r="CF191" s="607"/>
      <c r="CG191" s="607"/>
      <c r="CH191" s="607"/>
      <c r="CI191" s="609"/>
      <c r="CK191" s="610"/>
      <c r="CL191" s="611"/>
      <c r="CM191" s="612"/>
      <c r="CN191" s="613"/>
      <c r="CP191" s="472"/>
    </row>
    <row r="192" spans="2:94" x14ac:dyDescent="0.25">
      <c r="B192" s="617"/>
      <c r="C192" s="593"/>
      <c r="D192" s="594"/>
      <c r="E192" s="594"/>
      <c r="F192" s="407"/>
      <c r="G192" s="408"/>
      <c r="H192" s="408"/>
      <c r="I192" s="408"/>
      <c r="J192" s="408"/>
      <c r="K192" s="408"/>
      <c r="L192" s="408"/>
      <c r="M192" s="408"/>
      <c r="N192" s="595"/>
      <c r="O192" s="596"/>
      <c r="P192" s="596"/>
      <c r="Q192" s="597"/>
      <c r="R192" s="596"/>
      <c r="S192" s="596"/>
      <c r="T192" s="596"/>
      <c r="U192" s="598"/>
      <c r="V192" s="624"/>
      <c r="W192" s="600"/>
      <c r="X192" s="600"/>
      <c r="Y192" s="600"/>
      <c r="Z192" s="600"/>
      <c r="AA192" s="600"/>
      <c r="AB192" s="601"/>
      <c r="AC192" s="624"/>
      <c r="AD192" s="624"/>
      <c r="AE192" s="624"/>
      <c r="AF192" s="624"/>
      <c r="AG192" s="624"/>
      <c r="AH192" s="624"/>
      <c r="AI192" s="625"/>
      <c r="AJ192" s="626"/>
      <c r="AK192" s="602"/>
      <c r="AL192" s="627"/>
      <c r="AM192" s="600"/>
      <c r="AN192" s="600"/>
      <c r="AO192" s="600"/>
      <c r="AP192" s="600"/>
      <c r="AQ192" s="600"/>
      <c r="AR192" s="600"/>
      <c r="AS192" s="628"/>
      <c r="AT192" s="605"/>
      <c r="AU192" s="600"/>
      <c r="AV192" s="600"/>
      <c r="AW192" s="600"/>
      <c r="AX192" s="600"/>
      <c r="AY192" s="600"/>
      <c r="AZ192" s="600"/>
      <c r="BA192" s="600"/>
      <c r="BB192" s="600"/>
      <c r="BC192" s="600"/>
      <c r="BD192" s="600"/>
      <c r="BE192" s="600"/>
      <c r="BF192" s="600"/>
      <c r="BG192" s="600"/>
      <c r="BH192" s="600"/>
      <c r="BI192" s="600"/>
      <c r="BJ192" s="600"/>
      <c r="BK192" s="600"/>
      <c r="BL192" s="600"/>
      <c r="BM192" s="600"/>
      <c r="BN192" s="600"/>
      <c r="BO192" s="600"/>
      <c r="BP192" s="600"/>
      <c r="BQ192" s="600"/>
      <c r="BR192" s="600"/>
      <c r="BT192" s="606"/>
      <c r="BU192" s="607"/>
      <c r="BV192" s="607"/>
      <c r="BW192" s="607"/>
      <c r="BX192" s="607"/>
      <c r="BY192" s="607"/>
      <c r="BZ192" s="607"/>
      <c r="CA192" s="607"/>
      <c r="CB192" s="607"/>
      <c r="CC192" s="607"/>
      <c r="CD192" s="607"/>
      <c r="CE192" s="607"/>
      <c r="CF192" s="607"/>
      <c r="CG192" s="607"/>
      <c r="CH192" s="607"/>
      <c r="CI192" s="609"/>
      <c r="CK192" s="610"/>
      <c r="CL192" s="611"/>
      <c r="CM192" s="612"/>
      <c r="CN192" s="613"/>
      <c r="CP192" s="472"/>
    </row>
    <row r="193" spans="2:94" x14ac:dyDescent="0.25">
      <c r="B193" s="617"/>
      <c r="C193" s="593"/>
      <c r="D193" s="594"/>
      <c r="E193" s="594"/>
      <c r="F193" s="407"/>
      <c r="G193" s="408"/>
      <c r="H193" s="408"/>
      <c r="I193" s="408"/>
      <c r="J193" s="408"/>
      <c r="K193" s="408"/>
      <c r="L193" s="408"/>
      <c r="M193" s="408"/>
      <c r="N193" s="595"/>
      <c r="O193" s="596"/>
      <c r="P193" s="596"/>
      <c r="Q193" s="597"/>
      <c r="R193" s="596"/>
      <c r="S193" s="596"/>
      <c r="T193" s="596"/>
      <c r="U193" s="598"/>
      <c r="V193" s="624"/>
      <c r="W193" s="600"/>
      <c r="X193" s="600"/>
      <c r="Y193" s="600"/>
      <c r="Z193" s="600"/>
      <c r="AA193" s="600"/>
      <c r="AB193" s="601"/>
      <c r="AC193" s="624"/>
      <c r="AD193" s="624"/>
      <c r="AE193" s="624"/>
      <c r="AF193" s="624"/>
      <c r="AG193" s="624"/>
      <c r="AH193" s="624"/>
      <c r="AI193" s="625"/>
      <c r="AJ193" s="626"/>
      <c r="AK193" s="602"/>
      <c r="AL193" s="627"/>
      <c r="AM193" s="600"/>
      <c r="AN193" s="600"/>
      <c r="AO193" s="600"/>
      <c r="AP193" s="600"/>
      <c r="AQ193" s="600"/>
      <c r="AR193" s="600"/>
      <c r="AS193" s="628"/>
      <c r="AT193" s="605"/>
      <c r="AU193" s="600"/>
      <c r="AV193" s="600"/>
      <c r="AW193" s="600"/>
      <c r="AX193" s="600"/>
      <c r="AY193" s="600"/>
      <c r="AZ193" s="600"/>
      <c r="BA193" s="600"/>
      <c r="BB193" s="600"/>
      <c r="BC193" s="600"/>
      <c r="BD193" s="600"/>
      <c r="BE193" s="600"/>
      <c r="BF193" s="600"/>
      <c r="BG193" s="600"/>
      <c r="BH193" s="600"/>
      <c r="BI193" s="600"/>
      <c r="BJ193" s="600"/>
      <c r="BK193" s="600"/>
      <c r="BL193" s="600"/>
      <c r="BM193" s="600"/>
      <c r="BN193" s="600"/>
      <c r="BO193" s="600"/>
      <c r="BP193" s="600"/>
      <c r="BQ193" s="600"/>
      <c r="BR193" s="600"/>
      <c r="BT193" s="606"/>
      <c r="BU193" s="607"/>
      <c r="BV193" s="607"/>
      <c r="BW193" s="607"/>
      <c r="BX193" s="607"/>
      <c r="BY193" s="607"/>
      <c r="BZ193" s="607"/>
      <c r="CA193" s="607"/>
      <c r="CB193" s="607"/>
      <c r="CC193" s="607"/>
      <c r="CD193" s="607"/>
      <c r="CE193" s="607"/>
      <c r="CF193" s="607"/>
      <c r="CG193" s="607"/>
      <c r="CH193" s="607"/>
      <c r="CI193" s="609"/>
      <c r="CK193" s="610"/>
      <c r="CL193" s="611"/>
      <c r="CM193" s="612"/>
      <c r="CN193" s="613"/>
      <c r="CP193" s="472"/>
    </row>
    <row r="194" spans="2:94" x14ac:dyDescent="0.25">
      <c r="B194" s="617"/>
      <c r="C194" s="593"/>
      <c r="D194" s="594"/>
      <c r="E194" s="594"/>
      <c r="F194" s="407"/>
      <c r="G194" s="408"/>
      <c r="H194" s="408"/>
      <c r="I194" s="408"/>
      <c r="J194" s="408"/>
      <c r="K194" s="408"/>
      <c r="L194" s="408"/>
      <c r="M194" s="408"/>
      <c r="N194" s="595"/>
      <c r="O194" s="596"/>
      <c r="P194" s="596"/>
      <c r="Q194" s="597"/>
      <c r="R194" s="596"/>
      <c r="S194" s="596"/>
      <c r="T194" s="596"/>
      <c r="U194" s="598"/>
      <c r="V194" s="624"/>
      <c r="W194" s="600"/>
      <c r="X194" s="600"/>
      <c r="Y194" s="600"/>
      <c r="Z194" s="600"/>
      <c r="AA194" s="600"/>
      <c r="AB194" s="601"/>
      <c r="AC194" s="624"/>
      <c r="AD194" s="624"/>
      <c r="AE194" s="624"/>
      <c r="AF194" s="624"/>
      <c r="AG194" s="624"/>
      <c r="AH194" s="624"/>
      <c r="AI194" s="625"/>
      <c r="AJ194" s="626"/>
      <c r="AK194" s="602"/>
      <c r="AL194" s="627"/>
      <c r="AM194" s="600"/>
      <c r="AN194" s="600"/>
      <c r="AO194" s="600"/>
      <c r="AP194" s="600"/>
      <c r="AQ194" s="600"/>
      <c r="AR194" s="600"/>
      <c r="AS194" s="628"/>
      <c r="AT194" s="605"/>
      <c r="AU194" s="600"/>
      <c r="AV194" s="600"/>
      <c r="AW194" s="600"/>
      <c r="AX194" s="600"/>
      <c r="AY194" s="600"/>
      <c r="AZ194" s="600"/>
      <c r="BA194" s="600"/>
      <c r="BB194" s="600"/>
      <c r="BC194" s="600"/>
      <c r="BD194" s="600"/>
      <c r="BE194" s="600"/>
      <c r="BF194" s="600"/>
      <c r="BG194" s="600"/>
      <c r="BH194" s="600"/>
      <c r="BI194" s="600"/>
      <c r="BJ194" s="600"/>
      <c r="BK194" s="600"/>
      <c r="BL194" s="600"/>
      <c r="BM194" s="600"/>
      <c r="BN194" s="600"/>
      <c r="BO194" s="600"/>
      <c r="BP194" s="600"/>
      <c r="BQ194" s="600"/>
      <c r="BR194" s="600"/>
      <c r="BT194" s="606"/>
      <c r="BU194" s="607"/>
      <c r="BV194" s="607"/>
      <c r="BW194" s="607"/>
      <c r="BX194" s="607"/>
      <c r="BY194" s="607"/>
      <c r="BZ194" s="607"/>
      <c r="CA194" s="607"/>
      <c r="CB194" s="607"/>
      <c r="CC194" s="607"/>
      <c r="CD194" s="607"/>
      <c r="CE194" s="607"/>
      <c r="CF194" s="607"/>
      <c r="CG194" s="607"/>
      <c r="CH194" s="607"/>
      <c r="CI194" s="609"/>
      <c r="CK194" s="610"/>
      <c r="CL194" s="611"/>
      <c r="CM194" s="612"/>
      <c r="CN194" s="613"/>
      <c r="CP194" s="472"/>
    </row>
    <row r="195" spans="2:94" x14ac:dyDescent="0.25">
      <c r="B195" s="617"/>
      <c r="C195" s="593"/>
      <c r="D195" s="594"/>
      <c r="E195" s="594"/>
      <c r="F195" s="407"/>
      <c r="G195" s="408"/>
      <c r="H195" s="408"/>
      <c r="I195" s="408"/>
      <c r="J195" s="408"/>
      <c r="K195" s="408"/>
      <c r="L195" s="408"/>
      <c r="M195" s="408"/>
      <c r="N195" s="595"/>
      <c r="O195" s="596"/>
      <c r="P195" s="596"/>
      <c r="Q195" s="597"/>
      <c r="R195" s="596"/>
      <c r="S195" s="596"/>
      <c r="T195" s="596"/>
      <c r="U195" s="598"/>
      <c r="V195" s="624"/>
      <c r="W195" s="600"/>
      <c r="X195" s="600"/>
      <c r="Y195" s="600"/>
      <c r="Z195" s="600"/>
      <c r="AA195" s="600"/>
      <c r="AB195" s="601"/>
      <c r="AC195" s="624"/>
      <c r="AD195" s="624"/>
      <c r="AE195" s="624"/>
      <c r="AF195" s="624"/>
      <c r="AG195" s="624"/>
      <c r="AH195" s="624"/>
      <c r="AI195" s="625"/>
      <c r="AJ195" s="626"/>
      <c r="AK195" s="602"/>
      <c r="AL195" s="627"/>
      <c r="AM195" s="600"/>
      <c r="AN195" s="600"/>
      <c r="AO195" s="600"/>
      <c r="AP195" s="600"/>
      <c r="AQ195" s="600"/>
      <c r="AR195" s="600"/>
      <c r="AS195" s="628"/>
      <c r="AT195" s="605"/>
      <c r="AU195" s="600"/>
      <c r="AV195" s="600"/>
      <c r="AW195" s="600"/>
      <c r="AX195" s="600"/>
      <c r="AY195" s="600"/>
      <c r="AZ195" s="600"/>
      <c r="BA195" s="600"/>
      <c r="BB195" s="600"/>
      <c r="BC195" s="600"/>
      <c r="BD195" s="600"/>
      <c r="BE195" s="600"/>
      <c r="BF195" s="600"/>
      <c r="BG195" s="600"/>
      <c r="BH195" s="600"/>
      <c r="BI195" s="600"/>
      <c r="BJ195" s="600"/>
      <c r="BK195" s="600"/>
      <c r="BL195" s="600"/>
      <c r="BM195" s="600"/>
      <c r="BN195" s="600"/>
      <c r="BO195" s="600"/>
      <c r="BP195" s="600"/>
      <c r="BQ195" s="600"/>
      <c r="BR195" s="600"/>
      <c r="BT195" s="606"/>
      <c r="BU195" s="607"/>
      <c r="BV195" s="607"/>
      <c r="BW195" s="607"/>
      <c r="BX195" s="607"/>
      <c r="BY195" s="607"/>
      <c r="BZ195" s="607"/>
      <c r="CA195" s="607"/>
      <c r="CB195" s="607"/>
      <c r="CC195" s="607"/>
      <c r="CD195" s="607"/>
      <c r="CE195" s="607"/>
      <c r="CF195" s="607"/>
      <c r="CG195" s="607"/>
      <c r="CH195" s="607"/>
      <c r="CI195" s="609"/>
      <c r="CK195" s="610"/>
      <c r="CL195" s="611"/>
      <c r="CM195" s="612"/>
      <c r="CN195" s="613"/>
      <c r="CP195" s="472"/>
    </row>
    <row r="196" spans="2:94" x14ac:dyDescent="0.25">
      <c r="B196" s="617"/>
      <c r="C196" s="593"/>
      <c r="D196" s="594"/>
      <c r="E196" s="594"/>
      <c r="F196" s="407"/>
      <c r="G196" s="408"/>
      <c r="H196" s="408"/>
      <c r="I196" s="408"/>
      <c r="J196" s="408"/>
      <c r="K196" s="408"/>
      <c r="L196" s="408"/>
      <c r="M196" s="408"/>
      <c r="N196" s="595"/>
      <c r="O196" s="596"/>
      <c r="P196" s="596"/>
      <c r="Q196" s="597"/>
      <c r="R196" s="596"/>
      <c r="S196" s="596"/>
      <c r="T196" s="596"/>
      <c r="U196" s="598"/>
      <c r="V196" s="624"/>
      <c r="W196" s="600"/>
      <c r="X196" s="600"/>
      <c r="Y196" s="600"/>
      <c r="Z196" s="600"/>
      <c r="AA196" s="600"/>
      <c r="AB196" s="601"/>
      <c r="AC196" s="624"/>
      <c r="AD196" s="624"/>
      <c r="AE196" s="624"/>
      <c r="AF196" s="624"/>
      <c r="AG196" s="624"/>
      <c r="AH196" s="624"/>
      <c r="AI196" s="625"/>
      <c r="AJ196" s="626"/>
      <c r="AK196" s="602"/>
      <c r="AL196" s="627"/>
      <c r="AM196" s="600"/>
      <c r="AN196" s="600"/>
      <c r="AO196" s="600"/>
      <c r="AP196" s="600"/>
      <c r="AQ196" s="600"/>
      <c r="AR196" s="600"/>
      <c r="AS196" s="628"/>
      <c r="AT196" s="605"/>
      <c r="AU196" s="600"/>
      <c r="AV196" s="600"/>
      <c r="AW196" s="600"/>
      <c r="AX196" s="600"/>
      <c r="AY196" s="600"/>
      <c r="AZ196" s="600"/>
      <c r="BA196" s="600"/>
      <c r="BB196" s="600"/>
      <c r="BC196" s="600"/>
      <c r="BD196" s="600"/>
      <c r="BE196" s="600"/>
      <c r="BF196" s="600"/>
      <c r="BG196" s="600"/>
      <c r="BH196" s="600"/>
      <c r="BI196" s="600"/>
      <c r="BJ196" s="600"/>
      <c r="BK196" s="600"/>
      <c r="BL196" s="600"/>
      <c r="BM196" s="600"/>
      <c r="BN196" s="600"/>
      <c r="BO196" s="600"/>
      <c r="BP196" s="600"/>
      <c r="BQ196" s="600"/>
      <c r="BR196" s="600"/>
      <c r="BT196" s="606"/>
      <c r="BU196" s="607"/>
      <c r="BV196" s="607"/>
      <c r="BW196" s="607"/>
      <c r="BX196" s="607"/>
      <c r="BY196" s="607"/>
      <c r="BZ196" s="607"/>
      <c r="CA196" s="607"/>
      <c r="CB196" s="607"/>
      <c r="CC196" s="607"/>
      <c r="CD196" s="607"/>
      <c r="CE196" s="607"/>
      <c r="CF196" s="607"/>
      <c r="CG196" s="607"/>
      <c r="CH196" s="607"/>
      <c r="CI196" s="609"/>
      <c r="CK196" s="610"/>
      <c r="CL196" s="611"/>
      <c r="CM196" s="612"/>
      <c r="CN196" s="613"/>
      <c r="CP196" s="472"/>
    </row>
    <row r="197" spans="2:94" x14ac:dyDescent="0.25">
      <c r="B197" s="617"/>
      <c r="C197" s="593"/>
      <c r="D197" s="594"/>
      <c r="E197" s="594"/>
      <c r="F197" s="407"/>
      <c r="G197" s="408"/>
      <c r="H197" s="408"/>
      <c r="I197" s="408"/>
      <c r="J197" s="408"/>
      <c r="K197" s="408"/>
      <c r="L197" s="408"/>
      <c r="M197" s="408"/>
      <c r="N197" s="595"/>
      <c r="O197" s="596"/>
      <c r="P197" s="596"/>
      <c r="Q197" s="597"/>
      <c r="R197" s="596"/>
      <c r="S197" s="596"/>
      <c r="T197" s="596"/>
      <c r="U197" s="598"/>
      <c r="V197" s="624"/>
      <c r="W197" s="600"/>
      <c r="X197" s="600"/>
      <c r="Y197" s="600"/>
      <c r="Z197" s="600"/>
      <c r="AA197" s="600"/>
      <c r="AB197" s="601"/>
      <c r="AC197" s="624"/>
      <c r="AD197" s="624"/>
      <c r="AE197" s="624"/>
      <c r="AF197" s="624"/>
      <c r="AG197" s="624"/>
      <c r="AH197" s="624"/>
      <c r="AI197" s="625"/>
      <c r="AJ197" s="626"/>
      <c r="AK197" s="602"/>
      <c r="AL197" s="627"/>
      <c r="AM197" s="600"/>
      <c r="AN197" s="600"/>
      <c r="AO197" s="600"/>
      <c r="AP197" s="600"/>
      <c r="AQ197" s="600"/>
      <c r="AR197" s="600"/>
      <c r="AS197" s="628"/>
      <c r="AT197" s="605"/>
      <c r="AU197" s="600"/>
      <c r="AV197" s="600"/>
      <c r="AW197" s="600"/>
      <c r="AX197" s="600"/>
      <c r="AY197" s="600"/>
      <c r="AZ197" s="600"/>
      <c r="BA197" s="600"/>
      <c r="BB197" s="600"/>
      <c r="BC197" s="600"/>
      <c r="BD197" s="600"/>
      <c r="BE197" s="600"/>
      <c r="BF197" s="600"/>
      <c r="BG197" s="600"/>
      <c r="BH197" s="600"/>
      <c r="BI197" s="600"/>
      <c r="BJ197" s="600"/>
      <c r="BK197" s="600"/>
      <c r="BL197" s="600"/>
      <c r="BM197" s="600"/>
      <c r="BN197" s="600"/>
      <c r="BO197" s="600"/>
      <c r="BP197" s="600"/>
      <c r="BQ197" s="600"/>
      <c r="BR197" s="600"/>
      <c r="BT197" s="606"/>
      <c r="BU197" s="607"/>
      <c r="BV197" s="607"/>
      <c r="BW197" s="607"/>
      <c r="BX197" s="607"/>
      <c r="BY197" s="607"/>
      <c r="BZ197" s="607"/>
      <c r="CA197" s="607"/>
      <c r="CB197" s="607"/>
      <c r="CC197" s="607"/>
      <c r="CD197" s="607"/>
      <c r="CE197" s="607"/>
      <c r="CF197" s="607"/>
      <c r="CG197" s="607"/>
      <c r="CH197" s="607"/>
      <c r="CI197" s="609"/>
      <c r="CK197" s="610"/>
      <c r="CL197" s="611"/>
      <c r="CM197" s="612"/>
      <c r="CN197" s="613"/>
      <c r="CP197" s="472"/>
    </row>
    <row r="198" spans="2:94" x14ac:dyDescent="0.25">
      <c r="B198" s="617"/>
      <c r="C198" s="593"/>
      <c r="D198" s="594"/>
      <c r="E198" s="594"/>
      <c r="F198" s="407"/>
      <c r="G198" s="408"/>
      <c r="H198" s="408"/>
      <c r="I198" s="408"/>
      <c r="J198" s="408"/>
      <c r="K198" s="408"/>
      <c r="L198" s="408"/>
      <c r="M198" s="408"/>
      <c r="N198" s="595"/>
      <c r="O198" s="596"/>
      <c r="P198" s="596"/>
      <c r="Q198" s="597"/>
      <c r="R198" s="596"/>
      <c r="S198" s="596"/>
      <c r="T198" s="596"/>
      <c r="U198" s="598"/>
      <c r="V198" s="624"/>
      <c r="W198" s="600"/>
      <c r="X198" s="600"/>
      <c r="Y198" s="600"/>
      <c r="Z198" s="600"/>
      <c r="AA198" s="600"/>
      <c r="AB198" s="601"/>
      <c r="AC198" s="624"/>
      <c r="AD198" s="624"/>
      <c r="AE198" s="624"/>
      <c r="AF198" s="624"/>
      <c r="AG198" s="624"/>
      <c r="AH198" s="624"/>
      <c r="AI198" s="625"/>
      <c r="AJ198" s="626"/>
      <c r="AK198" s="602"/>
      <c r="AL198" s="627"/>
      <c r="AM198" s="600"/>
      <c r="AN198" s="600"/>
      <c r="AO198" s="600"/>
      <c r="AP198" s="600"/>
      <c r="AQ198" s="600"/>
      <c r="AR198" s="600"/>
      <c r="AS198" s="628"/>
      <c r="AT198" s="605"/>
      <c r="AU198" s="600"/>
      <c r="AV198" s="600"/>
      <c r="AW198" s="600"/>
      <c r="AX198" s="600"/>
      <c r="AY198" s="600"/>
      <c r="AZ198" s="600"/>
      <c r="BA198" s="600"/>
      <c r="BB198" s="600"/>
      <c r="BC198" s="600"/>
      <c r="BD198" s="600"/>
      <c r="BE198" s="600"/>
      <c r="BF198" s="600"/>
      <c r="BG198" s="600"/>
      <c r="BH198" s="600"/>
      <c r="BI198" s="600"/>
      <c r="BJ198" s="600"/>
      <c r="BK198" s="600"/>
      <c r="BL198" s="600"/>
      <c r="BM198" s="600"/>
      <c r="BN198" s="600"/>
      <c r="BO198" s="600"/>
      <c r="BP198" s="600"/>
      <c r="BQ198" s="600"/>
      <c r="BR198" s="600"/>
      <c r="BT198" s="606"/>
      <c r="BU198" s="607"/>
      <c r="BV198" s="607"/>
      <c r="BW198" s="607"/>
      <c r="BX198" s="607"/>
      <c r="BY198" s="607"/>
      <c r="BZ198" s="607"/>
      <c r="CA198" s="607"/>
      <c r="CB198" s="607"/>
      <c r="CC198" s="607"/>
      <c r="CD198" s="607"/>
      <c r="CE198" s="607"/>
      <c r="CF198" s="607"/>
      <c r="CG198" s="607"/>
      <c r="CH198" s="607"/>
      <c r="CI198" s="609"/>
      <c r="CK198" s="610"/>
      <c r="CL198" s="611"/>
      <c r="CM198" s="612"/>
      <c r="CN198" s="613"/>
      <c r="CP198" s="472"/>
    </row>
    <row r="199" spans="2:94" x14ac:dyDescent="0.25">
      <c r="B199" s="617"/>
      <c r="C199" s="593"/>
      <c r="D199" s="594"/>
      <c r="E199" s="594"/>
      <c r="F199" s="407"/>
      <c r="G199" s="408"/>
      <c r="H199" s="408"/>
      <c r="I199" s="408"/>
      <c r="J199" s="408"/>
      <c r="K199" s="408"/>
      <c r="L199" s="408"/>
      <c r="M199" s="408"/>
      <c r="N199" s="595"/>
      <c r="O199" s="596"/>
      <c r="P199" s="596"/>
      <c r="Q199" s="597"/>
      <c r="R199" s="596"/>
      <c r="S199" s="596"/>
      <c r="T199" s="596"/>
      <c r="U199" s="598"/>
      <c r="V199" s="624"/>
      <c r="W199" s="600"/>
      <c r="X199" s="600"/>
      <c r="Y199" s="600"/>
      <c r="Z199" s="600"/>
      <c r="AA199" s="600"/>
      <c r="AB199" s="601"/>
      <c r="AC199" s="624"/>
      <c r="AD199" s="624"/>
      <c r="AE199" s="624"/>
      <c r="AF199" s="624"/>
      <c r="AG199" s="624"/>
      <c r="AH199" s="624"/>
      <c r="AI199" s="625"/>
      <c r="AJ199" s="626"/>
      <c r="AK199" s="602"/>
      <c r="AL199" s="627"/>
      <c r="AM199" s="600"/>
      <c r="AN199" s="600"/>
      <c r="AO199" s="600"/>
      <c r="AP199" s="600"/>
      <c r="AQ199" s="600"/>
      <c r="AR199" s="600"/>
      <c r="AS199" s="628"/>
      <c r="AT199" s="605"/>
      <c r="AU199" s="600"/>
      <c r="AV199" s="600"/>
      <c r="AW199" s="600"/>
      <c r="AX199" s="600"/>
      <c r="AY199" s="600"/>
      <c r="AZ199" s="600"/>
      <c r="BA199" s="600"/>
      <c r="BB199" s="600"/>
      <c r="BC199" s="600"/>
      <c r="BD199" s="600"/>
      <c r="BE199" s="600"/>
      <c r="BF199" s="600"/>
      <c r="BG199" s="600"/>
      <c r="BH199" s="600"/>
      <c r="BI199" s="600"/>
      <c r="BJ199" s="600"/>
      <c r="BK199" s="600"/>
      <c r="BL199" s="600"/>
      <c r="BM199" s="600"/>
      <c r="BN199" s="600"/>
      <c r="BO199" s="600"/>
      <c r="BP199" s="600"/>
      <c r="BQ199" s="600"/>
      <c r="BR199" s="600"/>
      <c r="BT199" s="606"/>
      <c r="BU199" s="607"/>
      <c r="BV199" s="607"/>
      <c r="BW199" s="607"/>
      <c r="BX199" s="607"/>
      <c r="BY199" s="607"/>
      <c r="BZ199" s="607"/>
      <c r="CA199" s="607"/>
      <c r="CB199" s="607"/>
      <c r="CC199" s="607"/>
      <c r="CD199" s="607"/>
      <c r="CE199" s="607"/>
      <c r="CF199" s="607"/>
      <c r="CG199" s="607"/>
      <c r="CH199" s="607"/>
      <c r="CI199" s="609"/>
      <c r="CK199" s="610"/>
      <c r="CL199" s="611"/>
      <c r="CM199" s="612"/>
      <c r="CN199" s="613"/>
      <c r="CP199" s="472"/>
    </row>
    <row r="200" spans="2:94" x14ac:dyDescent="0.25">
      <c r="B200" s="617"/>
      <c r="C200" s="593"/>
      <c r="D200" s="594"/>
      <c r="E200" s="594"/>
      <c r="F200" s="407"/>
      <c r="G200" s="408"/>
      <c r="H200" s="408"/>
      <c r="I200" s="408"/>
      <c r="J200" s="408"/>
      <c r="K200" s="408"/>
      <c r="L200" s="408"/>
      <c r="M200" s="408"/>
      <c r="N200" s="595"/>
      <c r="O200" s="596"/>
      <c r="P200" s="596"/>
      <c r="Q200" s="597"/>
      <c r="R200" s="596"/>
      <c r="S200" s="596"/>
      <c r="T200" s="596"/>
      <c r="U200" s="598"/>
      <c r="V200" s="624"/>
      <c r="W200" s="600"/>
      <c r="X200" s="600"/>
      <c r="Y200" s="600"/>
      <c r="Z200" s="600"/>
      <c r="AA200" s="600"/>
      <c r="AB200" s="601"/>
      <c r="AC200" s="624"/>
      <c r="AD200" s="624"/>
      <c r="AE200" s="624"/>
      <c r="AF200" s="624"/>
      <c r="AG200" s="624"/>
      <c r="AH200" s="624"/>
      <c r="AI200" s="625"/>
      <c r="AJ200" s="626"/>
      <c r="AK200" s="602"/>
      <c r="AL200" s="627"/>
      <c r="AM200" s="600"/>
      <c r="AN200" s="600"/>
      <c r="AO200" s="600"/>
      <c r="AP200" s="600"/>
      <c r="AQ200" s="600"/>
      <c r="AR200" s="600"/>
      <c r="AS200" s="628"/>
      <c r="AT200" s="605"/>
      <c r="AU200" s="600"/>
      <c r="AV200" s="600"/>
      <c r="AW200" s="600"/>
      <c r="AX200" s="600"/>
      <c r="AY200" s="600"/>
      <c r="AZ200" s="600"/>
      <c r="BA200" s="600"/>
      <c r="BB200" s="600"/>
      <c r="BC200" s="600"/>
      <c r="BD200" s="600"/>
      <c r="BE200" s="600"/>
      <c r="BF200" s="600"/>
      <c r="BG200" s="600"/>
      <c r="BH200" s="600"/>
      <c r="BI200" s="600"/>
      <c r="BJ200" s="600"/>
      <c r="BK200" s="600"/>
      <c r="BL200" s="600"/>
      <c r="BM200" s="600"/>
      <c r="BN200" s="600"/>
      <c r="BO200" s="600"/>
      <c r="BP200" s="600"/>
      <c r="BQ200" s="600"/>
      <c r="BR200" s="600"/>
      <c r="BT200" s="606"/>
      <c r="BU200" s="607"/>
      <c r="BV200" s="607"/>
      <c r="BW200" s="607"/>
      <c r="BX200" s="607"/>
      <c r="BY200" s="607"/>
      <c r="BZ200" s="607"/>
      <c r="CA200" s="607"/>
      <c r="CB200" s="607"/>
      <c r="CC200" s="607"/>
      <c r="CD200" s="607"/>
      <c r="CE200" s="607"/>
      <c r="CF200" s="607"/>
      <c r="CG200" s="607"/>
      <c r="CH200" s="607"/>
      <c r="CI200" s="609"/>
      <c r="CK200" s="610"/>
      <c r="CL200" s="611"/>
      <c r="CM200" s="612"/>
      <c r="CN200" s="613"/>
      <c r="CP200" s="472"/>
    </row>
    <row r="201" spans="2:94" x14ac:dyDescent="0.25">
      <c r="B201" s="617"/>
      <c r="C201" s="593"/>
      <c r="D201" s="594"/>
      <c r="E201" s="594"/>
      <c r="F201" s="407"/>
      <c r="G201" s="408"/>
      <c r="H201" s="408"/>
      <c r="I201" s="408"/>
      <c r="J201" s="408"/>
      <c r="K201" s="408"/>
      <c r="L201" s="408"/>
      <c r="M201" s="408"/>
      <c r="N201" s="595"/>
      <c r="O201" s="596"/>
      <c r="P201" s="596"/>
      <c r="Q201" s="597"/>
      <c r="R201" s="596"/>
      <c r="S201" s="596"/>
      <c r="T201" s="596"/>
      <c r="U201" s="598"/>
      <c r="V201" s="624"/>
      <c r="W201" s="600"/>
      <c r="X201" s="600"/>
      <c r="Y201" s="600"/>
      <c r="Z201" s="600"/>
      <c r="AA201" s="600"/>
      <c r="AB201" s="601"/>
      <c r="AC201" s="624"/>
      <c r="AD201" s="624"/>
      <c r="AE201" s="624"/>
      <c r="AF201" s="624"/>
      <c r="AG201" s="624"/>
      <c r="AH201" s="624"/>
      <c r="AI201" s="625"/>
      <c r="AJ201" s="626"/>
      <c r="AK201" s="602"/>
      <c r="AL201" s="627"/>
      <c r="AM201" s="600"/>
      <c r="AN201" s="600"/>
      <c r="AO201" s="600"/>
      <c r="AP201" s="600"/>
      <c r="AQ201" s="600"/>
      <c r="AR201" s="600"/>
      <c r="AS201" s="628"/>
      <c r="AT201" s="605"/>
      <c r="AU201" s="600"/>
      <c r="AV201" s="600"/>
      <c r="AW201" s="600"/>
      <c r="AX201" s="600"/>
      <c r="AY201" s="600"/>
      <c r="AZ201" s="600"/>
      <c r="BA201" s="600"/>
      <c r="BB201" s="600"/>
      <c r="BC201" s="600"/>
      <c r="BD201" s="600"/>
      <c r="BE201" s="600"/>
      <c r="BF201" s="600"/>
      <c r="BG201" s="600"/>
      <c r="BH201" s="600"/>
      <c r="BI201" s="600"/>
      <c r="BJ201" s="600"/>
      <c r="BK201" s="600"/>
      <c r="BL201" s="600"/>
      <c r="BM201" s="600"/>
      <c r="BN201" s="600"/>
      <c r="BO201" s="600"/>
      <c r="BP201" s="600"/>
      <c r="BQ201" s="600"/>
      <c r="BR201" s="600"/>
      <c r="BT201" s="606"/>
      <c r="BU201" s="607"/>
      <c r="BV201" s="607"/>
      <c r="BW201" s="607"/>
      <c r="BX201" s="607"/>
      <c r="BY201" s="607"/>
      <c r="BZ201" s="607"/>
      <c r="CA201" s="607"/>
      <c r="CB201" s="607"/>
      <c r="CC201" s="607"/>
      <c r="CD201" s="607"/>
      <c r="CE201" s="607"/>
      <c r="CF201" s="607"/>
      <c r="CG201" s="607"/>
      <c r="CH201" s="607"/>
      <c r="CI201" s="609"/>
      <c r="CK201" s="610"/>
      <c r="CL201" s="611"/>
      <c r="CM201" s="612"/>
      <c r="CN201" s="613"/>
      <c r="CP201" s="472"/>
    </row>
    <row r="202" spans="2:94" x14ac:dyDescent="0.25">
      <c r="B202" s="617"/>
      <c r="C202" s="593"/>
      <c r="D202" s="594"/>
      <c r="E202" s="594"/>
      <c r="F202" s="407"/>
      <c r="G202" s="408"/>
      <c r="H202" s="408"/>
      <c r="I202" s="408"/>
      <c r="J202" s="408"/>
      <c r="K202" s="408"/>
      <c r="L202" s="408"/>
      <c r="M202" s="408"/>
      <c r="N202" s="595"/>
      <c r="O202" s="596"/>
      <c r="P202" s="596"/>
      <c r="Q202" s="597"/>
      <c r="R202" s="596"/>
      <c r="S202" s="596"/>
      <c r="T202" s="596"/>
      <c r="U202" s="598"/>
      <c r="V202" s="624"/>
      <c r="W202" s="600"/>
      <c r="X202" s="600"/>
      <c r="Y202" s="600"/>
      <c r="Z202" s="600"/>
      <c r="AA202" s="600"/>
      <c r="AB202" s="601"/>
      <c r="AC202" s="624"/>
      <c r="AD202" s="624"/>
      <c r="AE202" s="624"/>
      <c r="AF202" s="624"/>
      <c r="AG202" s="624"/>
      <c r="AH202" s="624"/>
      <c r="AI202" s="625"/>
      <c r="AJ202" s="626"/>
      <c r="AK202" s="602"/>
      <c r="AL202" s="627"/>
      <c r="AM202" s="600"/>
      <c r="AN202" s="600"/>
      <c r="AO202" s="600"/>
      <c r="AP202" s="600"/>
      <c r="AQ202" s="600"/>
      <c r="AR202" s="600"/>
      <c r="AS202" s="628"/>
      <c r="AT202" s="605"/>
      <c r="AU202" s="600"/>
      <c r="AV202" s="600"/>
      <c r="AW202" s="600"/>
      <c r="AX202" s="600"/>
      <c r="AY202" s="600"/>
      <c r="AZ202" s="600"/>
      <c r="BA202" s="600"/>
      <c r="BB202" s="600"/>
      <c r="BC202" s="600"/>
      <c r="BD202" s="600"/>
      <c r="BE202" s="600"/>
      <c r="BF202" s="600"/>
      <c r="BG202" s="600"/>
      <c r="BH202" s="600"/>
      <c r="BI202" s="600"/>
      <c r="BJ202" s="600"/>
      <c r="BK202" s="600"/>
      <c r="BL202" s="600"/>
      <c r="BM202" s="600"/>
      <c r="BN202" s="600"/>
      <c r="BO202" s="600"/>
      <c r="BP202" s="600"/>
      <c r="BQ202" s="600"/>
      <c r="BR202" s="600"/>
      <c r="BT202" s="606"/>
      <c r="BU202" s="607"/>
      <c r="BV202" s="607"/>
      <c r="BW202" s="607"/>
      <c r="BX202" s="607"/>
      <c r="BY202" s="607"/>
      <c r="BZ202" s="607"/>
      <c r="CA202" s="607"/>
      <c r="CB202" s="607"/>
      <c r="CC202" s="607"/>
      <c r="CD202" s="607"/>
      <c r="CE202" s="607"/>
      <c r="CF202" s="607"/>
      <c r="CG202" s="607"/>
      <c r="CH202" s="607"/>
      <c r="CI202" s="609"/>
      <c r="CK202" s="610"/>
      <c r="CL202" s="611"/>
      <c r="CM202" s="612"/>
      <c r="CN202" s="613"/>
      <c r="CP202" s="472"/>
    </row>
    <row r="203" spans="2:94" x14ac:dyDescent="0.25">
      <c r="B203" s="617"/>
      <c r="C203" s="593"/>
      <c r="D203" s="594"/>
      <c r="E203" s="594"/>
      <c r="F203" s="407"/>
      <c r="G203" s="408"/>
      <c r="H203" s="408"/>
      <c r="I203" s="408"/>
      <c r="J203" s="408"/>
      <c r="K203" s="408"/>
      <c r="L203" s="408"/>
      <c r="M203" s="408"/>
      <c r="N203" s="595"/>
      <c r="O203" s="596"/>
      <c r="P203" s="596"/>
      <c r="Q203" s="597"/>
      <c r="R203" s="596"/>
      <c r="S203" s="596"/>
      <c r="T203" s="596"/>
      <c r="U203" s="598"/>
      <c r="V203" s="624"/>
      <c r="W203" s="600"/>
      <c r="X203" s="600"/>
      <c r="Y203" s="600"/>
      <c r="Z203" s="600"/>
      <c r="AA203" s="600"/>
      <c r="AB203" s="601"/>
      <c r="AC203" s="624"/>
      <c r="AD203" s="624"/>
      <c r="AE203" s="624"/>
      <c r="AF203" s="624"/>
      <c r="AG203" s="624"/>
      <c r="AH203" s="624"/>
      <c r="AI203" s="625"/>
      <c r="AJ203" s="626"/>
      <c r="AK203" s="602"/>
      <c r="AL203" s="627"/>
      <c r="AM203" s="600"/>
      <c r="AN203" s="600"/>
      <c r="AO203" s="600"/>
      <c r="AP203" s="600"/>
      <c r="AQ203" s="600"/>
      <c r="AR203" s="600"/>
      <c r="AS203" s="628"/>
      <c r="AT203" s="605"/>
      <c r="AU203" s="600"/>
      <c r="AV203" s="600"/>
      <c r="AW203" s="600"/>
      <c r="AX203" s="600"/>
      <c r="AY203" s="600"/>
      <c r="AZ203" s="600"/>
      <c r="BA203" s="600"/>
      <c r="BB203" s="600"/>
      <c r="BC203" s="600"/>
      <c r="BD203" s="600"/>
      <c r="BE203" s="600"/>
      <c r="BF203" s="600"/>
      <c r="BG203" s="600"/>
      <c r="BH203" s="600"/>
      <c r="BI203" s="600"/>
      <c r="BJ203" s="600"/>
      <c r="BK203" s="600"/>
      <c r="BL203" s="600"/>
      <c r="BM203" s="600"/>
      <c r="BN203" s="600"/>
      <c r="BO203" s="600"/>
      <c r="BP203" s="600"/>
      <c r="BQ203" s="600"/>
      <c r="BR203" s="600"/>
      <c r="BT203" s="606"/>
      <c r="BU203" s="607"/>
      <c r="BV203" s="607"/>
      <c r="BW203" s="607"/>
      <c r="BX203" s="607"/>
      <c r="BY203" s="607"/>
      <c r="BZ203" s="607"/>
      <c r="CA203" s="607"/>
      <c r="CB203" s="607"/>
      <c r="CC203" s="607"/>
      <c r="CD203" s="607"/>
      <c r="CE203" s="607"/>
      <c r="CF203" s="607"/>
      <c r="CG203" s="607"/>
      <c r="CH203" s="607"/>
      <c r="CI203" s="609"/>
      <c r="CK203" s="610"/>
      <c r="CL203" s="611"/>
      <c r="CM203" s="612"/>
      <c r="CN203" s="613"/>
      <c r="CP203" s="472"/>
    </row>
    <row r="204" spans="2:94" x14ac:dyDescent="0.25">
      <c r="B204" s="617"/>
      <c r="C204" s="593"/>
      <c r="D204" s="594"/>
      <c r="E204" s="594"/>
      <c r="F204" s="407"/>
      <c r="G204" s="408"/>
      <c r="H204" s="408"/>
      <c r="I204" s="408"/>
      <c r="J204" s="408"/>
      <c r="K204" s="408"/>
      <c r="L204" s="408"/>
      <c r="M204" s="408"/>
      <c r="N204" s="595"/>
      <c r="O204" s="596"/>
      <c r="P204" s="596"/>
      <c r="Q204" s="597"/>
      <c r="R204" s="596"/>
      <c r="S204" s="596"/>
      <c r="T204" s="596"/>
      <c r="U204" s="598"/>
      <c r="V204" s="624"/>
      <c r="W204" s="600"/>
      <c r="X204" s="600"/>
      <c r="Y204" s="600"/>
      <c r="Z204" s="600"/>
      <c r="AA204" s="600"/>
      <c r="AB204" s="601"/>
      <c r="AC204" s="624"/>
      <c r="AD204" s="624"/>
      <c r="AE204" s="624"/>
      <c r="AF204" s="624"/>
      <c r="AG204" s="624"/>
      <c r="AH204" s="624"/>
      <c r="AI204" s="625"/>
      <c r="AJ204" s="626"/>
      <c r="AK204" s="602"/>
      <c r="AL204" s="627"/>
      <c r="AM204" s="600"/>
      <c r="AN204" s="600"/>
      <c r="AO204" s="600"/>
      <c r="AP204" s="600"/>
      <c r="AQ204" s="600"/>
      <c r="AR204" s="600"/>
      <c r="AS204" s="628"/>
      <c r="AT204" s="605"/>
      <c r="AU204" s="600"/>
      <c r="AV204" s="600"/>
      <c r="AW204" s="600"/>
      <c r="AX204" s="600"/>
      <c r="AY204" s="600"/>
      <c r="AZ204" s="600"/>
      <c r="BA204" s="600"/>
      <c r="BB204" s="600"/>
      <c r="BC204" s="600"/>
      <c r="BD204" s="600"/>
      <c r="BE204" s="600"/>
      <c r="BF204" s="600"/>
      <c r="BG204" s="600"/>
      <c r="BH204" s="600"/>
      <c r="BI204" s="600"/>
      <c r="BJ204" s="600"/>
      <c r="BK204" s="600"/>
      <c r="BL204" s="600"/>
      <c r="BM204" s="600"/>
      <c r="BN204" s="600"/>
      <c r="BO204" s="600"/>
      <c r="BP204" s="600"/>
      <c r="BQ204" s="600"/>
      <c r="BR204" s="600"/>
      <c r="BT204" s="606"/>
      <c r="BU204" s="607"/>
      <c r="BV204" s="607"/>
      <c r="BW204" s="607"/>
      <c r="BX204" s="607"/>
      <c r="BY204" s="607"/>
      <c r="BZ204" s="607"/>
      <c r="CA204" s="607"/>
      <c r="CB204" s="607"/>
      <c r="CC204" s="607"/>
      <c r="CD204" s="607"/>
      <c r="CE204" s="607"/>
      <c r="CF204" s="607"/>
      <c r="CG204" s="607"/>
      <c r="CH204" s="607"/>
      <c r="CI204" s="609"/>
      <c r="CK204" s="610"/>
      <c r="CL204" s="611"/>
      <c r="CM204" s="612"/>
      <c r="CN204" s="613"/>
      <c r="CP204" s="472"/>
    </row>
    <row r="205" spans="2:94" x14ac:dyDescent="0.25">
      <c r="B205" s="617"/>
      <c r="C205" s="593"/>
      <c r="D205" s="594"/>
      <c r="E205" s="594"/>
      <c r="F205" s="407"/>
      <c r="G205" s="408"/>
      <c r="H205" s="408"/>
      <c r="I205" s="408"/>
      <c r="J205" s="408"/>
      <c r="K205" s="408"/>
      <c r="L205" s="408"/>
      <c r="M205" s="408"/>
      <c r="N205" s="595"/>
      <c r="O205" s="596"/>
      <c r="P205" s="596"/>
      <c r="Q205" s="597"/>
      <c r="R205" s="596"/>
      <c r="S205" s="596"/>
      <c r="T205" s="596"/>
      <c r="U205" s="598"/>
      <c r="V205" s="624"/>
      <c r="W205" s="600"/>
      <c r="X205" s="600"/>
      <c r="Y205" s="600"/>
      <c r="Z205" s="600"/>
      <c r="AA205" s="600"/>
      <c r="AB205" s="601"/>
      <c r="AC205" s="624"/>
      <c r="AD205" s="624"/>
      <c r="AE205" s="624"/>
      <c r="AF205" s="624"/>
      <c r="AG205" s="624"/>
      <c r="AH205" s="624"/>
      <c r="AI205" s="625"/>
      <c r="AJ205" s="626"/>
      <c r="AK205" s="602"/>
      <c r="AL205" s="627"/>
      <c r="AM205" s="600"/>
      <c r="AN205" s="600"/>
      <c r="AO205" s="600"/>
      <c r="AP205" s="600"/>
      <c r="AQ205" s="600"/>
      <c r="AR205" s="600"/>
      <c r="AS205" s="628"/>
      <c r="AT205" s="605"/>
      <c r="AU205" s="600"/>
      <c r="AV205" s="600"/>
      <c r="AW205" s="600"/>
      <c r="AX205" s="600"/>
      <c r="AY205" s="600"/>
      <c r="AZ205" s="600"/>
      <c r="BA205" s="600"/>
      <c r="BB205" s="600"/>
      <c r="BC205" s="600"/>
      <c r="BD205" s="600"/>
      <c r="BE205" s="600"/>
      <c r="BF205" s="600"/>
      <c r="BG205" s="600"/>
      <c r="BH205" s="600"/>
      <c r="BI205" s="600"/>
      <c r="BJ205" s="600"/>
      <c r="BK205" s="600"/>
      <c r="BL205" s="600"/>
      <c r="BM205" s="600"/>
      <c r="BN205" s="600"/>
      <c r="BO205" s="600"/>
      <c r="BP205" s="600"/>
      <c r="BQ205" s="600"/>
      <c r="BR205" s="600"/>
      <c r="BT205" s="606"/>
      <c r="BU205" s="607"/>
      <c r="BV205" s="607"/>
      <c r="BW205" s="607"/>
      <c r="BX205" s="607"/>
      <c r="BY205" s="607"/>
      <c r="BZ205" s="607"/>
      <c r="CA205" s="607"/>
      <c r="CB205" s="607"/>
      <c r="CC205" s="607"/>
      <c r="CD205" s="607"/>
      <c r="CE205" s="607"/>
      <c r="CF205" s="607"/>
      <c r="CG205" s="607"/>
      <c r="CH205" s="607"/>
      <c r="CI205" s="609"/>
      <c r="CK205" s="610"/>
      <c r="CL205" s="611"/>
      <c r="CM205" s="612"/>
      <c r="CN205" s="613"/>
      <c r="CP205" s="472"/>
    </row>
    <row r="206" spans="2:94" x14ac:dyDescent="0.25">
      <c r="B206" s="617"/>
      <c r="C206" s="593"/>
      <c r="D206" s="594"/>
      <c r="E206" s="594"/>
      <c r="F206" s="407"/>
      <c r="G206" s="408"/>
      <c r="H206" s="408"/>
      <c r="I206" s="408"/>
      <c r="J206" s="408"/>
      <c r="K206" s="408"/>
      <c r="L206" s="408"/>
      <c r="M206" s="408"/>
      <c r="N206" s="595"/>
      <c r="O206" s="596"/>
      <c r="P206" s="596"/>
      <c r="Q206" s="597"/>
      <c r="R206" s="596"/>
      <c r="S206" s="596"/>
      <c r="T206" s="596"/>
      <c r="U206" s="598"/>
      <c r="V206" s="624"/>
      <c r="W206" s="600"/>
      <c r="X206" s="600"/>
      <c r="Y206" s="600"/>
      <c r="Z206" s="600"/>
      <c r="AA206" s="600"/>
      <c r="AB206" s="601"/>
      <c r="AC206" s="624"/>
      <c r="AD206" s="624"/>
      <c r="AE206" s="624"/>
      <c r="AF206" s="624"/>
      <c r="AG206" s="624"/>
      <c r="AH206" s="624"/>
      <c r="AI206" s="625"/>
      <c r="AJ206" s="626"/>
      <c r="AK206" s="602"/>
      <c r="AL206" s="627"/>
      <c r="AM206" s="600"/>
      <c r="AN206" s="600"/>
      <c r="AO206" s="600"/>
      <c r="AP206" s="600"/>
      <c r="AQ206" s="600"/>
      <c r="AR206" s="600"/>
      <c r="AS206" s="628"/>
      <c r="AT206" s="605"/>
      <c r="AU206" s="600"/>
      <c r="AV206" s="600"/>
      <c r="AW206" s="600"/>
      <c r="AX206" s="600"/>
      <c r="AY206" s="600"/>
      <c r="AZ206" s="600"/>
      <c r="BA206" s="600"/>
      <c r="BB206" s="600"/>
      <c r="BC206" s="600"/>
      <c r="BD206" s="600"/>
      <c r="BE206" s="600"/>
      <c r="BF206" s="600"/>
      <c r="BG206" s="600"/>
      <c r="BH206" s="600"/>
      <c r="BI206" s="600"/>
      <c r="BJ206" s="600"/>
      <c r="BK206" s="600"/>
      <c r="BL206" s="600"/>
      <c r="BM206" s="600"/>
      <c r="BN206" s="600"/>
      <c r="BO206" s="600"/>
      <c r="BP206" s="600"/>
      <c r="BQ206" s="600"/>
      <c r="BR206" s="600"/>
      <c r="BT206" s="606"/>
      <c r="BU206" s="607"/>
      <c r="BV206" s="607"/>
      <c r="BW206" s="607"/>
      <c r="BX206" s="607"/>
      <c r="BY206" s="607"/>
      <c r="BZ206" s="607"/>
      <c r="CA206" s="607"/>
      <c r="CB206" s="607"/>
      <c r="CC206" s="607"/>
      <c r="CD206" s="607"/>
      <c r="CE206" s="607"/>
      <c r="CF206" s="607"/>
      <c r="CG206" s="607"/>
      <c r="CH206" s="607"/>
      <c r="CI206" s="609"/>
      <c r="CK206" s="610"/>
      <c r="CL206" s="611"/>
      <c r="CM206" s="612"/>
      <c r="CN206" s="613"/>
      <c r="CP206" s="472"/>
    </row>
    <row r="207" spans="2:94" x14ac:dyDescent="0.25">
      <c r="B207" s="617"/>
      <c r="C207" s="593"/>
      <c r="D207" s="594"/>
      <c r="E207" s="594"/>
      <c r="F207" s="407"/>
      <c r="G207" s="408"/>
      <c r="H207" s="408"/>
      <c r="I207" s="408"/>
      <c r="J207" s="408"/>
      <c r="K207" s="408"/>
      <c r="L207" s="408"/>
      <c r="M207" s="408"/>
      <c r="N207" s="595"/>
      <c r="O207" s="596"/>
      <c r="P207" s="596"/>
      <c r="Q207" s="597"/>
      <c r="R207" s="596"/>
      <c r="S207" s="596"/>
      <c r="T207" s="596"/>
      <c r="U207" s="598"/>
      <c r="V207" s="624"/>
      <c r="W207" s="600"/>
      <c r="X207" s="600"/>
      <c r="Y207" s="600"/>
      <c r="Z207" s="600"/>
      <c r="AA207" s="600"/>
      <c r="AB207" s="601"/>
      <c r="AC207" s="624"/>
      <c r="AD207" s="624"/>
      <c r="AE207" s="624"/>
      <c r="AF207" s="624"/>
      <c r="AG207" s="624"/>
      <c r="AH207" s="624"/>
      <c r="AI207" s="625"/>
      <c r="AJ207" s="626"/>
      <c r="AK207" s="602"/>
      <c r="AL207" s="627"/>
      <c r="AM207" s="600"/>
      <c r="AN207" s="600"/>
      <c r="AO207" s="600"/>
      <c r="AP207" s="600"/>
      <c r="AQ207" s="600"/>
      <c r="AR207" s="600"/>
      <c r="AS207" s="628"/>
      <c r="AT207" s="605"/>
      <c r="AU207" s="600"/>
      <c r="AV207" s="600"/>
      <c r="AW207" s="600"/>
      <c r="AX207" s="600"/>
      <c r="AY207" s="600"/>
      <c r="AZ207" s="600"/>
      <c r="BA207" s="600"/>
      <c r="BB207" s="600"/>
      <c r="BC207" s="600"/>
      <c r="BD207" s="600"/>
      <c r="BE207" s="600"/>
      <c r="BF207" s="600"/>
      <c r="BG207" s="600"/>
      <c r="BH207" s="600"/>
      <c r="BI207" s="600"/>
      <c r="BJ207" s="600"/>
      <c r="BK207" s="600"/>
      <c r="BL207" s="600"/>
      <c r="BM207" s="600"/>
      <c r="BN207" s="600"/>
      <c r="BO207" s="600"/>
      <c r="BP207" s="600"/>
      <c r="BQ207" s="600"/>
      <c r="BR207" s="600"/>
      <c r="BT207" s="606"/>
      <c r="BU207" s="607"/>
      <c r="BV207" s="607"/>
      <c r="BW207" s="607"/>
      <c r="BX207" s="607"/>
      <c r="BY207" s="607"/>
      <c r="BZ207" s="607"/>
      <c r="CA207" s="607"/>
      <c r="CB207" s="607"/>
      <c r="CC207" s="607"/>
      <c r="CD207" s="607"/>
      <c r="CE207" s="607"/>
      <c r="CF207" s="607"/>
      <c r="CG207" s="607"/>
      <c r="CH207" s="607"/>
      <c r="CI207" s="609"/>
      <c r="CK207" s="610"/>
      <c r="CL207" s="611"/>
      <c r="CM207" s="612"/>
      <c r="CN207" s="613"/>
      <c r="CP207" s="472"/>
    </row>
    <row r="208" spans="2:94" x14ac:dyDescent="0.25">
      <c r="B208" s="617"/>
      <c r="C208" s="593"/>
      <c r="D208" s="594"/>
      <c r="E208" s="594"/>
      <c r="F208" s="407"/>
      <c r="G208" s="408"/>
      <c r="H208" s="408"/>
      <c r="I208" s="408"/>
      <c r="J208" s="408"/>
      <c r="K208" s="408"/>
      <c r="L208" s="408"/>
      <c r="M208" s="408"/>
      <c r="N208" s="595"/>
      <c r="O208" s="596"/>
      <c r="P208" s="596"/>
      <c r="Q208" s="597"/>
      <c r="R208" s="596"/>
      <c r="S208" s="596"/>
      <c r="T208" s="596"/>
      <c r="U208" s="598"/>
      <c r="V208" s="624"/>
      <c r="W208" s="600"/>
      <c r="X208" s="600"/>
      <c r="Y208" s="600"/>
      <c r="Z208" s="600"/>
      <c r="AA208" s="600"/>
      <c r="AB208" s="601"/>
      <c r="AC208" s="624"/>
      <c r="AD208" s="624"/>
      <c r="AE208" s="624"/>
      <c r="AF208" s="624"/>
      <c r="AG208" s="624"/>
      <c r="AH208" s="624"/>
      <c r="AI208" s="625"/>
      <c r="AJ208" s="626"/>
      <c r="AK208" s="602"/>
      <c r="AL208" s="627"/>
      <c r="AM208" s="600"/>
      <c r="AN208" s="600"/>
      <c r="AO208" s="600"/>
      <c r="AP208" s="600"/>
      <c r="AQ208" s="600"/>
      <c r="AR208" s="600"/>
      <c r="AS208" s="628"/>
      <c r="AT208" s="605"/>
      <c r="AU208" s="600"/>
      <c r="AV208" s="600"/>
      <c r="AW208" s="600"/>
      <c r="AX208" s="600"/>
      <c r="AY208" s="600"/>
      <c r="AZ208" s="600"/>
      <c r="BA208" s="600"/>
      <c r="BB208" s="600"/>
      <c r="BC208" s="600"/>
      <c r="BD208" s="600"/>
      <c r="BE208" s="600"/>
      <c r="BF208" s="600"/>
      <c r="BG208" s="600"/>
      <c r="BH208" s="600"/>
      <c r="BI208" s="600"/>
      <c r="BJ208" s="600"/>
      <c r="BK208" s="600"/>
      <c r="BL208" s="600"/>
      <c r="BM208" s="600"/>
      <c r="BN208" s="600"/>
      <c r="BO208" s="600"/>
      <c r="BP208" s="600"/>
      <c r="BQ208" s="600"/>
      <c r="BR208" s="600"/>
      <c r="BT208" s="606"/>
      <c r="BU208" s="607"/>
      <c r="BV208" s="607"/>
      <c r="BW208" s="607"/>
      <c r="BX208" s="607"/>
      <c r="BY208" s="607"/>
      <c r="BZ208" s="607"/>
      <c r="CA208" s="607"/>
      <c r="CB208" s="607"/>
      <c r="CC208" s="607"/>
      <c r="CD208" s="607"/>
      <c r="CE208" s="607"/>
      <c r="CF208" s="607"/>
      <c r="CG208" s="607"/>
      <c r="CH208" s="607"/>
      <c r="CI208" s="609"/>
      <c r="CK208" s="610"/>
      <c r="CL208" s="611"/>
      <c r="CM208" s="612"/>
      <c r="CN208" s="613"/>
      <c r="CP208" s="472"/>
    </row>
    <row r="209" spans="2:94" x14ac:dyDescent="0.25">
      <c r="B209" s="617"/>
      <c r="C209" s="593"/>
      <c r="D209" s="594"/>
      <c r="E209" s="594"/>
      <c r="F209" s="407"/>
      <c r="G209" s="408"/>
      <c r="H209" s="408"/>
      <c r="I209" s="408"/>
      <c r="J209" s="408"/>
      <c r="K209" s="408"/>
      <c r="L209" s="408"/>
      <c r="M209" s="408"/>
      <c r="N209" s="595"/>
      <c r="O209" s="596"/>
      <c r="P209" s="596"/>
      <c r="Q209" s="597"/>
      <c r="R209" s="596"/>
      <c r="S209" s="596"/>
      <c r="T209" s="596"/>
      <c r="U209" s="598"/>
      <c r="V209" s="624"/>
      <c r="W209" s="600"/>
      <c r="X209" s="600"/>
      <c r="Y209" s="600"/>
      <c r="Z209" s="600"/>
      <c r="AA209" s="600"/>
      <c r="AB209" s="601"/>
      <c r="AC209" s="624"/>
      <c r="AD209" s="624"/>
      <c r="AE209" s="624"/>
      <c r="AF209" s="624"/>
      <c r="AG209" s="624"/>
      <c r="AH209" s="624"/>
      <c r="AI209" s="625"/>
      <c r="AJ209" s="626"/>
      <c r="AK209" s="602"/>
      <c r="AL209" s="627"/>
      <c r="AM209" s="600"/>
      <c r="AN209" s="600"/>
      <c r="AO209" s="600"/>
      <c r="AP209" s="600"/>
      <c r="AQ209" s="600"/>
      <c r="AR209" s="600"/>
      <c r="AS209" s="628"/>
      <c r="AT209" s="605"/>
      <c r="AU209" s="600"/>
      <c r="AV209" s="600"/>
      <c r="AW209" s="600"/>
      <c r="AX209" s="600"/>
      <c r="AY209" s="600"/>
      <c r="AZ209" s="600"/>
      <c r="BA209" s="600"/>
      <c r="BB209" s="600"/>
      <c r="BC209" s="600"/>
      <c r="BD209" s="600"/>
      <c r="BE209" s="600"/>
      <c r="BF209" s="600"/>
      <c r="BG209" s="600"/>
      <c r="BH209" s="600"/>
      <c r="BI209" s="600"/>
      <c r="BJ209" s="600"/>
      <c r="BK209" s="600"/>
      <c r="BL209" s="600"/>
      <c r="BM209" s="600"/>
      <c r="BN209" s="600"/>
      <c r="BO209" s="600"/>
      <c r="BP209" s="600"/>
      <c r="BQ209" s="600"/>
      <c r="BR209" s="600"/>
      <c r="BT209" s="606"/>
      <c r="BU209" s="607"/>
      <c r="BV209" s="607"/>
      <c r="BW209" s="607"/>
      <c r="BX209" s="607"/>
      <c r="BY209" s="607"/>
      <c r="BZ209" s="607"/>
      <c r="CA209" s="607"/>
      <c r="CB209" s="607"/>
      <c r="CC209" s="607"/>
      <c r="CD209" s="607"/>
      <c r="CE209" s="607"/>
      <c r="CF209" s="607"/>
      <c r="CG209" s="607"/>
      <c r="CH209" s="607"/>
      <c r="CI209" s="609"/>
      <c r="CK209" s="610"/>
      <c r="CL209" s="611"/>
      <c r="CM209" s="612"/>
      <c r="CN209" s="613"/>
      <c r="CP209" s="472"/>
    </row>
    <row r="210" spans="2:94" x14ac:dyDescent="0.25">
      <c r="B210" s="617"/>
      <c r="C210" s="593"/>
      <c r="D210" s="594"/>
      <c r="E210" s="594"/>
      <c r="F210" s="407"/>
      <c r="G210" s="408"/>
      <c r="H210" s="408"/>
      <c r="I210" s="408"/>
      <c r="J210" s="408"/>
      <c r="K210" s="408"/>
      <c r="L210" s="408"/>
      <c r="M210" s="408"/>
      <c r="N210" s="595"/>
      <c r="O210" s="596"/>
      <c r="P210" s="596"/>
      <c r="Q210" s="597"/>
      <c r="R210" s="596"/>
      <c r="S210" s="596"/>
      <c r="T210" s="596"/>
      <c r="U210" s="598"/>
      <c r="V210" s="624"/>
      <c r="W210" s="600"/>
      <c r="X210" s="600"/>
      <c r="Y210" s="600"/>
      <c r="Z210" s="600"/>
      <c r="AA210" s="600"/>
      <c r="AB210" s="601"/>
      <c r="AC210" s="624"/>
      <c r="AD210" s="624"/>
      <c r="AE210" s="624"/>
      <c r="AF210" s="624"/>
      <c r="AG210" s="624"/>
      <c r="AH210" s="624"/>
      <c r="AI210" s="625"/>
      <c r="AJ210" s="626"/>
      <c r="AK210" s="602"/>
      <c r="AL210" s="627"/>
      <c r="AM210" s="600"/>
      <c r="AN210" s="600"/>
      <c r="AO210" s="600"/>
      <c r="AP210" s="600"/>
      <c r="AQ210" s="600"/>
      <c r="AR210" s="600"/>
      <c r="AS210" s="628"/>
      <c r="AT210" s="605"/>
      <c r="AU210" s="600"/>
      <c r="AV210" s="600"/>
      <c r="AW210" s="600"/>
      <c r="AX210" s="600"/>
      <c r="AY210" s="600"/>
      <c r="AZ210" s="600"/>
      <c r="BA210" s="600"/>
      <c r="BB210" s="600"/>
      <c r="BC210" s="600"/>
      <c r="BD210" s="600"/>
      <c r="BE210" s="600"/>
      <c r="BF210" s="600"/>
      <c r="BG210" s="600"/>
      <c r="BH210" s="600"/>
      <c r="BI210" s="600"/>
      <c r="BJ210" s="600"/>
      <c r="BK210" s="600"/>
      <c r="BL210" s="600"/>
      <c r="BM210" s="600"/>
      <c r="BN210" s="600"/>
      <c r="BO210" s="600"/>
      <c r="BP210" s="600"/>
      <c r="BQ210" s="600"/>
      <c r="BR210" s="600"/>
      <c r="BT210" s="606"/>
      <c r="BU210" s="607"/>
      <c r="BV210" s="607"/>
      <c r="BW210" s="607"/>
      <c r="BX210" s="607"/>
      <c r="BY210" s="607"/>
      <c r="BZ210" s="607"/>
      <c r="CA210" s="607"/>
      <c r="CB210" s="607"/>
      <c r="CC210" s="607"/>
      <c r="CD210" s="607"/>
      <c r="CE210" s="607"/>
      <c r="CF210" s="607"/>
      <c r="CG210" s="607"/>
      <c r="CH210" s="607"/>
      <c r="CI210" s="609"/>
      <c r="CK210" s="610"/>
      <c r="CL210" s="611"/>
      <c r="CM210" s="612"/>
      <c r="CN210" s="613"/>
      <c r="CP210" s="472"/>
    </row>
    <row r="211" spans="2:94" x14ac:dyDescent="0.25">
      <c r="B211" s="617"/>
      <c r="C211" s="593"/>
      <c r="D211" s="594"/>
      <c r="E211" s="594"/>
      <c r="F211" s="407"/>
      <c r="G211" s="408"/>
      <c r="H211" s="408"/>
      <c r="I211" s="408"/>
      <c r="J211" s="408"/>
      <c r="K211" s="408"/>
      <c r="L211" s="408"/>
      <c r="M211" s="408"/>
      <c r="N211" s="595"/>
      <c r="O211" s="596"/>
      <c r="P211" s="596"/>
      <c r="Q211" s="597"/>
      <c r="R211" s="596"/>
      <c r="S211" s="596"/>
      <c r="T211" s="596"/>
      <c r="U211" s="598"/>
      <c r="V211" s="624"/>
      <c r="W211" s="600"/>
      <c r="X211" s="600"/>
      <c r="Y211" s="600"/>
      <c r="Z211" s="600"/>
      <c r="AA211" s="600"/>
      <c r="AB211" s="601"/>
      <c r="AC211" s="624"/>
      <c r="AD211" s="624"/>
      <c r="AE211" s="624"/>
      <c r="AF211" s="624"/>
      <c r="AG211" s="624"/>
      <c r="AH211" s="624"/>
      <c r="AI211" s="625"/>
      <c r="AJ211" s="626"/>
      <c r="AK211" s="602"/>
      <c r="AL211" s="627"/>
      <c r="AM211" s="600"/>
      <c r="AN211" s="600"/>
      <c r="AO211" s="600"/>
      <c r="AP211" s="600"/>
      <c r="AQ211" s="600"/>
      <c r="AR211" s="600"/>
      <c r="AS211" s="628"/>
      <c r="AT211" s="605"/>
      <c r="AU211" s="600"/>
      <c r="AV211" s="600"/>
      <c r="AW211" s="600"/>
      <c r="AX211" s="600"/>
      <c r="AY211" s="600"/>
      <c r="AZ211" s="600"/>
      <c r="BA211" s="600"/>
      <c r="BB211" s="600"/>
      <c r="BC211" s="600"/>
      <c r="BD211" s="600"/>
      <c r="BE211" s="600"/>
      <c r="BF211" s="600"/>
      <c r="BG211" s="600"/>
      <c r="BH211" s="600"/>
      <c r="BI211" s="600"/>
      <c r="BJ211" s="600"/>
      <c r="BK211" s="600"/>
      <c r="BL211" s="600"/>
      <c r="BM211" s="600"/>
      <c r="BN211" s="600"/>
      <c r="BO211" s="600"/>
      <c r="BP211" s="600"/>
      <c r="BQ211" s="600"/>
      <c r="BR211" s="600"/>
      <c r="BT211" s="606"/>
      <c r="BU211" s="607"/>
      <c r="BV211" s="607"/>
      <c r="BW211" s="607"/>
      <c r="BX211" s="607"/>
      <c r="BY211" s="607"/>
      <c r="BZ211" s="607"/>
      <c r="CA211" s="607"/>
      <c r="CB211" s="607"/>
      <c r="CC211" s="607"/>
      <c r="CD211" s="607"/>
      <c r="CE211" s="607"/>
      <c r="CF211" s="607"/>
      <c r="CG211" s="607"/>
      <c r="CH211" s="607"/>
      <c r="CI211" s="609"/>
      <c r="CK211" s="610"/>
      <c r="CL211" s="611"/>
      <c r="CM211" s="612"/>
      <c r="CN211" s="613"/>
      <c r="CP211" s="472"/>
    </row>
    <row r="212" spans="2:94" x14ac:dyDescent="0.25">
      <c r="B212" s="617"/>
      <c r="C212" s="593"/>
      <c r="D212" s="594"/>
      <c r="E212" s="594"/>
      <c r="F212" s="407"/>
      <c r="G212" s="408"/>
      <c r="H212" s="408"/>
      <c r="I212" s="408"/>
      <c r="J212" s="408"/>
      <c r="K212" s="408"/>
      <c r="L212" s="408"/>
      <c r="M212" s="408"/>
      <c r="N212" s="595"/>
      <c r="O212" s="596"/>
      <c r="P212" s="596"/>
      <c r="Q212" s="597"/>
      <c r="R212" s="596"/>
      <c r="S212" s="596"/>
      <c r="T212" s="596"/>
      <c r="U212" s="598"/>
      <c r="V212" s="624"/>
      <c r="W212" s="600"/>
      <c r="X212" s="600"/>
      <c r="Y212" s="600"/>
      <c r="Z212" s="600"/>
      <c r="AA212" s="600"/>
      <c r="AB212" s="601"/>
      <c r="AC212" s="624"/>
      <c r="AD212" s="624"/>
      <c r="AE212" s="624"/>
      <c r="AF212" s="624"/>
      <c r="AG212" s="624"/>
      <c r="AH212" s="624"/>
      <c r="AI212" s="625"/>
      <c r="AJ212" s="626"/>
      <c r="AK212" s="602"/>
      <c r="AL212" s="627"/>
      <c r="AM212" s="600"/>
      <c r="AN212" s="600"/>
      <c r="AO212" s="600"/>
      <c r="AP212" s="600"/>
      <c r="AQ212" s="600"/>
      <c r="AR212" s="600"/>
      <c r="AS212" s="628"/>
      <c r="AT212" s="605"/>
      <c r="AU212" s="600"/>
      <c r="AV212" s="600"/>
      <c r="AW212" s="600"/>
      <c r="AX212" s="600"/>
      <c r="AY212" s="600"/>
      <c r="AZ212" s="600"/>
      <c r="BA212" s="600"/>
      <c r="BB212" s="600"/>
      <c r="BC212" s="600"/>
      <c r="BD212" s="600"/>
      <c r="BE212" s="600"/>
      <c r="BF212" s="600"/>
      <c r="BG212" s="600"/>
      <c r="BH212" s="600"/>
      <c r="BI212" s="600"/>
      <c r="BJ212" s="600"/>
      <c r="BK212" s="600"/>
      <c r="BL212" s="600"/>
      <c r="BM212" s="600"/>
      <c r="BN212" s="600"/>
      <c r="BO212" s="600"/>
      <c r="BP212" s="600"/>
      <c r="BQ212" s="600"/>
      <c r="BR212" s="600"/>
      <c r="BT212" s="606"/>
      <c r="BU212" s="607"/>
      <c r="BV212" s="607"/>
      <c r="BW212" s="607"/>
      <c r="BX212" s="607"/>
      <c r="BY212" s="607"/>
      <c r="BZ212" s="607"/>
      <c r="CA212" s="607"/>
      <c r="CB212" s="607"/>
      <c r="CC212" s="607"/>
      <c r="CD212" s="607"/>
      <c r="CE212" s="607"/>
      <c r="CF212" s="607"/>
      <c r="CG212" s="607"/>
      <c r="CH212" s="607"/>
      <c r="CI212" s="609"/>
      <c r="CK212" s="610"/>
      <c r="CL212" s="611"/>
      <c r="CM212" s="612"/>
      <c r="CN212" s="613"/>
      <c r="CP212" s="472"/>
    </row>
    <row r="213" spans="2:94" x14ac:dyDescent="0.25">
      <c r="B213" s="617"/>
      <c r="C213" s="593"/>
      <c r="D213" s="594"/>
      <c r="E213" s="594"/>
      <c r="F213" s="407"/>
      <c r="G213" s="408"/>
      <c r="H213" s="408"/>
      <c r="I213" s="408"/>
      <c r="J213" s="408"/>
      <c r="K213" s="408"/>
      <c r="L213" s="408"/>
      <c r="M213" s="408"/>
      <c r="N213" s="595"/>
      <c r="O213" s="596"/>
      <c r="P213" s="596"/>
      <c r="Q213" s="597"/>
      <c r="R213" s="596"/>
      <c r="S213" s="596"/>
      <c r="T213" s="596"/>
      <c r="U213" s="598"/>
      <c r="V213" s="624"/>
      <c r="W213" s="600"/>
      <c r="X213" s="600"/>
      <c r="Y213" s="600"/>
      <c r="Z213" s="600"/>
      <c r="AA213" s="600"/>
      <c r="AB213" s="601"/>
      <c r="AC213" s="624"/>
      <c r="AD213" s="624"/>
      <c r="AE213" s="624"/>
      <c r="AF213" s="624"/>
      <c r="AG213" s="624"/>
      <c r="AH213" s="624"/>
      <c r="AI213" s="625"/>
      <c r="AJ213" s="626"/>
      <c r="AK213" s="602"/>
      <c r="AL213" s="627"/>
      <c r="AM213" s="600"/>
      <c r="AN213" s="600"/>
      <c r="AO213" s="600"/>
      <c r="AP213" s="600"/>
      <c r="AQ213" s="600"/>
      <c r="AR213" s="600"/>
      <c r="AS213" s="628"/>
      <c r="AT213" s="605"/>
      <c r="AU213" s="600"/>
      <c r="AV213" s="600"/>
      <c r="AW213" s="600"/>
      <c r="AX213" s="600"/>
      <c r="AY213" s="600"/>
      <c r="AZ213" s="600"/>
      <c r="BA213" s="600"/>
      <c r="BB213" s="600"/>
      <c r="BC213" s="600"/>
      <c r="BD213" s="600"/>
      <c r="BE213" s="600"/>
      <c r="BF213" s="600"/>
      <c r="BG213" s="600"/>
      <c r="BH213" s="600"/>
      <c r="BI213" s="600"/>
      <c r="BJ213" s="600"/>
      <c r="BK213" s="600"/>
      <c r="BL213" s="600"/>
      <c r="BM213" s="600"/>
      <c r="BN213" s="600"/>
      <c r="BO213" s="600"/>
      <c r="BP213" s="600"/>
      <c r="BQ213" s="600"/>
      <c r="BR213" s="600"/>
      <c r="BT213" s="606"/>
      <c r="BU213" s="607"/>
      <c r="BV213" s="607"/>
      <c r="BW213" s="607"/>
      <c r="BX213" s="607"/>
      <c r="BY213" s="607"/>
      <c r="BZ213" s="607"/>
      <c r="CA213" s="607"/>
      <c r="CB213" s="607"/>
      <c r="CC213" s="607"/>
      <c r="CD213" s="607"/>
      <c r="CE213" s="607"/>
      <c r="CF213" s="607"/>
      <c r="CG213" s="607"/>
      <c r="CH213" s="607"/>
      <c r="CI213" s="609"/>
      <c r="CK213" s="610"/>
      <c r="CL213" s="611"/>
      <c r="CM213" s="612"/>
      <c r="CN213" s="613"/>
      <c r="CP213" s="472"/>
    </row>
    <row r="214" spans="2:94" x14ac:dyDescent="0.25">
      <c r="B214" s="617"/>
      <c r="C214" s="593"/>
      <c r="D214" s="594"/>
      <c r="E214" s="594"/>
      <c r="F214" s="407"/>
      <c r="G214" s="408"/>
      <c r="H214" s="408"/>
      <c r="I214" s="408"/>
      <c r="J214" s="408"/>
      <c r="K214" s="408"/>
      <c r="L214" s="408"/>
      <c r="M214" s="408"/>
      <c r="N214" s="595"/>
      <c r="O214" s="596"/>
      <c r="P214" s="596"/>
      <c r="Q214" s="597"/>
      <c r="R214" s="596"/>
      <c r="S214" s="596"/>
      <c r="T214" s="596"/>
      <c r="U214" s="598"/>
      <c r="V214" s="624"/>
      <c r="W214" s="600"/>
      <c r="X214" s="600"/>
      <c r="Y214" s="600"/>
      <c r="Z214" s="600"/>
      <c r="AA214" s="600"/>
      <c r="AB214" s="601"/>
      <c r="AC214" s="624"/>
      <c r="AD214" s="624"/>
      <c r="AE214" s="624"/>
      <c r="AF214" s="624"/>
      <c r="AG214" s="624"/>
      <c r="AH214" s="624"/>
      <c r="AI214" s="625"/>
      <c r="AJ214" s="626"/>
      <c r="AK214" s="602"/>
      <c r="AL214" s="627"/>
      <c r="AM214" s="600"/>
      <c r="AN214" s="600"/>
      <c r="AO214" s="600"/>
      <c r="AP214" s="600"/>
      <c r="AQ214" s="600"/>
      <c r="AR214" s="600"/>
      <c r="AS214" s="628"/>
      <c r="AT214" s="605"/>
      <c r="AU214" s="600"/>
      <c r="AV214" s="600"/>
      <c r="AW214" s="600"/>
      <c r="AX214" s="600"/>
      <c r="AY214" s="600"/>
      <c r="AZ214" s="600"/>
      <c r="BA214" s="600"/>
      <c r="BB214" s="600"/>
      <c r="BC214" s="600"/>
      <c r="BD214" s="600"/>
      <c r="BE214" s="600"/>
      <c r="BF214" s="600"/>
      <c r="BG214" s="600"/>
      <c r="BH214" s="600"/>
      <c r="BI214" s="600"/>
      <c r="BJ214" s="600"/>
      <c r="BK214" s="600"/>
      <c r="BL214" s="600"/>
      <c r="BM214" s="600"/>
      <c r="BN214" s="600"/>
      <c r="BO214" s="600"/>
      <c r="BP214" s="600"/>
      <c r="BQ214" s="600"/>
      <c r="BR214" s="600"/>
      <c r="BT214" s="606"/>
      <c r="BU214" s="607"/>
      <c r="BV214" s="607"/>
      <c r="BW214" s="607"/>
      <c r="BX214" s="607"/>
      <c r="BY214" s="607"/>
      <c r="BZ214" s="607"/>
      <c r="CA214" s="607"/>
      <c r="CB214" s="607"/>
      <c r="CC214" s="607"/>
      <c r="CD214" s="607"/>
      <c r="CE214" s="607"/>
      <c r="CF214" s="607"/>
      <c r="CG214" s="607"/>
      <c r="CH214" s="607"/>
      <c r="CI214" s="609"/>
      <c r="CK214" s="610"/>
      <c r="CL214" s="611"/>
      <c r="CM214" s="612"/>
      <c r="CN214" s="613"/>
      <c r="CP214" s="472"/>
    </row>
    <row r="215" spans="2:94" x14ac:dyDescent="0.25">
      <c r="B215" s="617"/>
      <c r="C215" s="593"/>
      <c r="D215" s="594"/>
      <c r="E215" s="594"/>
      <c r="F215" s="407"/>
      <c r="G215" s="408"/>
      <c r="H215" s="408"/>
      <c r="I215" s="408"/>
      <c r="J215" s="408"/>
      <c r="K215" s="408"/>
      <c r="L215" s="408"/>
      <c r="M215" s="408"/>
      <c r="N215" s="595"/>
      <c r="O215" s="596"/>
      <c r="P215" s="596"/>
      <c r="Q215" s="597"/>
      <c r="R215" s="596"/>
      <c r="S215" s="596"/>
      <c r="T215" s="596"/>
      <c r="U215" s="598"/>
      <c r="V215" s="624"/>
      <c r="W215" s="600"/>
      <c r="X215" s="600"/>
      <c r="Y215" s="600"/>
      <c r="Z215" s="600"/>
      <c r="AA215" s="600"/>
      <c r="AB215" s="601"/>
      <c r="AC215" s="624"/>
      <c r="AD215" s="624"/>
      <c r="AE215" s="624"/>
      <c r="AF215" s="624"/>
      <c r="AG215" s="624"/>
      <c r="AH215" s="624"/>
      <c r="AI215" s="625"/>
      <c r="AJ215" s="626"/>
      <c r="AK215" s="602"/>
      <c r="AL215" s="627"/>
      <c r="AM215" s="600"/>
      <c r="AN215" s="600"/>
      <c r="AO215" s="600"/>
      <c r="AP215" s="600"/>
      <c r="AQ215" s="600"/>
      <c r="AR215" s="600"/>
      <c r="AS215" s="628"/>
      <c r="AT215" s="605"/>
      <c r="AU215" s="600"/>
      <c r="AV215" s="600"/>
      <c r="AW215" s="600"/>
      <c r="AX215" s="600"/>
      <c r="AY215" s="600"/>
      <c r="AZ215" s="600"/>
      <c r="BA215" s="600"/>
      <c r="BB215" s="600"/>
      <c r="BC215" s="600"/>
      <c r="BD215" s="600"/>
      <c r="BE215" s="600"/>
      <c r="BF215" s="600"/>
      <c r="BG215" s="600"/>
      <c r="BH215" s="600"/>
      <c r="BI215" s="600"/>
      <c r="BJ215" s="600"/>
      <c r="BK215" s="600"/>
      <c r="BL215" s="600"/>
      <c r="BM215" s="600"/>
      <c r="BN215" s="600"/>
      <c r="BO215" s="600"/>
      <c r="BP215" s="600"/>
      <c r="BQ215" s="600"/>
      <c r="BR215" s="600"/>
      <c r="BT215" s="606"/>
      <c r="BU215" s="607"/>
      <c r="BV215" s="607"/>
      <c r="BW215" s="607"/>
      <c r="BX215" s="607"/>
      <c r="BY215" s="607"/>
      <c r="BZ215" s="607"/>
      <c r="CA215" s="607"/>
      <c r="CB215" s="607"/>
      <c r="CC215" s="607"/>
      <c r="CD215" s="607"/>
      <c r="CE215" s="607"/>
      <c r="CF215" s="607"/>
      <c r="CG215" s="607"/>
      <c r="CH215" s="607"/>
      <c r="CI215" s="609"/>
      <c r="CK215" s="610"/>
      <c r="CL215" s="611"/>
      <c r="CM215" s="612"/>
      <c r="CN215" s="613"/>
      <c r="CP215" s="472"/>
    </row>
    <row r="216" spans="2:94" x14ac:dyDescent="0.25">
      <c r="B216" s="617"/>
      <c r="C216" s="593"/>
      <c r="D216" s="594"/>
      <c r="E216" s="594"/>
      <c r="F216" s="407"/>
      <c r="G216" s="408"/>
      <c r="H216" s="408"/>
      <c r="I216" s="408"/>
      <c r="J216" s="408"/>
      <c r="K216" s="408"/>
      <c r="L216" s="408"/>
      <c r="M216" s="408"/>
      <c r="N216" s="595"/>
      <c r="O216" s="596"/>
      <c r="P216" s="596"/>
      <c r="Q216" s="597"/>
      <c r="R216" s="596"/>
      <c r="S216" s="596"/>
      <c r="T216" s="596"/>
      <c r="U216" s="598"/>
      <c r="V216" s="624"/>
      <c r="W216" s="600"/>
      <c r="X216" s="600"/>
      <c r="Y216" s="600"/>
      <c r="Z216" s="600"/>
      <c r="AA216" s="600"/>
      <c r="AB216" s="601"/>
      <c r="AC216" s="624"/>
      <c r="AD216" s="624"/>
      <c r="AE216" s="624"/>
      <c r="AF216" s="624"/>
      <c r="AG216" s="624"/>
      <c r="AH216" s="624"/>
      <c r="AI216" s="625"/>
      <c r="AJ216" s="626"/>
      <c r="AK216" s="602"/>
      <c r="AL216" s="627"/>
      <c r="AM216" s="600"/>
      <c r="AN216" s="600"/>
      <c r="AO216" s="600"/>
      <c r="AP216" s="600"/>
      <c r="AQ216" s="600"/>
      <c r="AR216" s="600"/>
      <c r="AS216" s="628"/>
      <c r="AT216" s="605"/>
      <c r="AU216" s="600"/>
      <c r="AV216" s="600"/>
      <c r="AW216" s="600"/>
      <c r="AX216" s="600"/>
      <c r="AY216" s="600"/>
      <c r="AZ216" s="600"/>
      <c r="BA216" s="600"/>
      <c r="BB216" s="600"/>
      <c r="BC216" s="600"/>
      <c r="BD216" s="600"/>
      <c r="BE216" s="600"/>
      <c r="BF216" s="600"/>
      <c r="BG216" s="600"/>
      <c r="BH216" s="600"/>
      <c r="BI216" s="600"/>
      <c r="BJ216" s="600"/>
      <c r="BK216" s="600"/>
      <c r="BL216" s="600"/>
      <c r="BM216" s="600"/>
      <c r="BN216" s="600"/>
      <c r="BO216" s="600"/>
      <c r="BP216" s="600"/>
      <c r="BQ216" s="600"/>
      <c r="BR216" s="600"/>
      <c r="BT216" s="606"/>
      <c r="BU216" s="607"/>
      <c r="BV216" s="607"/>
      <c r="BW216" s="607"/>
      <c r="BX216" s="607"/>
      <c r="BY216" s="607"/>
      <c r="BZ216" s="607"/>
      <c r="CA216" s="607"/>
      <c r="CB216" s="607"/>
      <c r="CC216" s="607"/>
      <c r="CD216" s="607"/>
      <c r="CE216" s="607"/>
      <c r="CF216" s="607"/>
      <c r="CG216" s="607"/>
      <c r="CH216" s="607"/>
      <c r="CI216" s="609"/>
      <c r="CK216" s="610"/>
      <c r="CL216" s="611"/>
      <c r="CM216" s="612"/>
      <c r="CN216" s="613"/>
      <c r="CP216" s="472"/>
    </row>
    <row r="217" spans="2:94" x14ac:dyDescent="0.25">
      <c r="B217" s="617"/>
      <c r="C217" s="593"/>
      <c r="D217" s="594"/>
      <c r="E217" s="594"/>
      <c r="F217" s="407"/>
      <c r="G217" s="408"/>
      <c r="H217" s="408"/>
      <c r="I217" s="408"/>
      <c r="J217" s="408"/>
      <c r="K217" s="408"/>
      <c r="L217" s="408"/>
      <c r="M217" s="408"/>
      <c r="N217" s="595"/>
      <c r="O217" s="596"/>
      <c r="P217" s="596"/>
      <c r="Q217" s="597"/>
      <c r="R217" s="596"/>
      <c r="S217" s="596"/>
      <c r="T217" s="596"/>
      <c r="U217" s="598"/>
      <c r="V217" s="624"/>
      <c r="W217" s="600"/>
      <c r="X217" s="600"/>
      <c r="Y217" s="600"/>
      <c r="Z217" s="600"/>
      <c r="AA217" s="600"/>
      <c r="AB217" s="601"/>
      <c r="AC217" s="624"/>
      <c r="AD217" s="624"/>
      <c r="AE217" s="624"/>
      <c r="AF217" s="624"/>
      <c r="AG217" s="624"/>
      <c r="AH217" s="624"/>
      <c r="AI217" s="625"/>
      <c r="AJ217" s="626"/>
      <c r="AK217" s="602"/>
      <c r="AL217" s="627"/>
      <c r="AM217" s="600"/>
      <c r="AN217" s="600"/>
      <c r="AO217" s="600"/>
      <c r="AP217" s="600"/>
      <c r="AQ217" s="600"/>
      <c r="AR217" s="600"/>
      <c r="AS217" s="628"/>
      <c r="AT217" s="605"/>
      <c r="AU217" s="600"/>
      <c r="AV217" s="600"/>
      <c r="AW217" s="600"/>
      <c r="AX217" s="600"/>
      <c r="AY217" s="600"/>
      <c r="AZ217" s="600"/>
      <c r="BA217" s="600"/>
      <c r="BB217" s="600"/>
      <c r="BC217" s="600"/>
      <c r="BD217" s="600"/>
      <c r="BE217" s="600"/>
      <c r="BF217" s="600"/>
      <c r="BG217" s="600"/>
      <c r="BH217" s="600"/>
      <c r="BI217" s="600"/>
      <c r="BJ217" s="600"/>
      <c r="BK217" s="600"/>
      <c r="BL217" s="600"/>
      <c r="BM217" s="600"/>
      <c r="BN217" s="600"/>
      <c r="BO217" s="600"/>
      <c r="BP217" s="600"/>
      <c r="BQ217" s="600"/>
      <c r="BR217" s="600"/>
      <c r="BT217" s="606"/>
      <c r="BU217" s="607"/>
      <c r="BV217" s="607"/>
      <c r="BW217" s="607"/>
      <c r="BX217" s="607"/>
      <c r="BY217" s="607"/>
      <c r="BZ217" s="607"/>
      <c r="CA217" s="607"/>
      <c r="CB217" s="607"/>
      <c r="CC217" s="607"/>
      <c r="CD217" s="607"/>
      <c r="CE217" s="607"/>
      <c r="CF217" s="607"/>
      <c r="CG217" s="607"/>
      <c r="CH217" s="607"/>
      <c r="CI217" s="609"/>
      <c r="CK217" s="610"/>
      <c r="CL217" s="611"/>
      <c r="CM217" s="612"/>
      <c r="CN217" s="613"/>
      <c r="CP217" s="472"/>
    </row>
    <row r="218" spans="2:94" x14ac:dyDescent="0.25">
      <c r="B218" s="617"/>
      <c r="C218" s="593"/>
      <c r="D218" s="594"/>
      <c r="E218" s="594"/>
      <c r="F218" s="407"/>
      <c r="G218" s="408"/>
      <c r="H218" s="408"/>
      <c r="I218" s="408"/>
      <c r="J218" s="408"/>
      <c r="K218" s="408"/>
      <c r="L218" s="408"/>
      <c r="M218" s="408"/>
      <c r="N218" s="595"/>
      <c r="O218" s="596"/>
      <c r="P218" s="596"/>
      <c r="Q218" s="597"/>
      <c r="R218" s="596"/>
      <c r="S218" s="596"/>
      <c r="T218" s="596"/>
      <c r="U218" s="598"/>
      <c r="V218" s="624"/>
      <c r="W218" s="600"/>
      <c r="X218" s="600"/>
      <c r="Y218" s="600"/>
      <c r="Z218" s="600"/>
      <c r="AA218" s="600"/>
      <c r="AB218" s="601"/>
      <c r="AC218" s="624"/>
      <c r="AD218" s="624"/>
      <c r="AE218" s="624"/>
      <c r="AF218" s="624"/>
      <c r="AG218" s="624"/>
      <c r="AH218" s="624"/>
      <c r="AI218" s="625"/>
      <c r="AJ218" s="626"/>
      <c r="AK218" s="602"/>
      <c r="AL218" s="627"/>
      <c r="AM218" s="600"/>
      <c r="AN218" s="600"/>
      <c r="AO218" s="600"/>
      <c r="AP218" s="600"/>
      <c r="AQ218" s="600"/>
      <c r="AR218" s="600"/>
      <c r="AS218" s="628"/>
      <c r="AT218" s="605"/>
      <c r="AU218" s="600"/>
      <c r="AV218" s="600"/>
      <c r="AW218" s="600"/>
      <c r="AX218" s="600"/>
      <c r="AY218" s="600"/>
      <c r="AZ218" s="600"/>
      <c r="BA218" s="600"/>
      <c r="BB218" s="600"/>
      <c r="BC218" s="600"/>
      <c r="BD218" s="600"/>
      <c r="BE218" s="600"/>
      <c r="BF218" s="600"/>
      <c r="BG218" s="600"/>
      <c r="BH218" s="600"/>
      <c r="BI218" s="600"/>
      <c r="BJ218" s="600"/>
      <c r="BK218" s="600"/>
      <c r="BL218" s="600"/>
      <c r="BM218" s="600"/>
      <c r="BN218" s="600"/>
      <c r="BO218" s="600"/>
      <c r="BP218" s="600"/>
      <c r="BQ218" s="600"/>
      <c r="BR218" s="600"/>
      <c r="BT218" s="606"/>
      <c r="BU218" s="607"/>
      <c r="BV218" s="607"/>
      <c r="BW218" s="607"/>
      <c r="BX218" s="607"/>
      <c r="BY218" s="607"/>
      <c r="BZ218" s="607"/>
      <c r="CA218" s="607"/>
      <c r="CB218" s="607"/>
      <c r="CC218" s="607"/>
      <c r="CD218" s="607"/>
      <c r="CE218" s="607"/>
      <c r="CF218" s="607"/>
      <c r="CG218" s="607"/>
      <c r="CH218" s="607"/>
      <c r="CI218" s="609"/>
      <c r="CK218" s="610"/>
      <c r="CL218" s="611"/>
      <c r="CM218" s="612"/>
      <c r="CN218" s="613"/>
      <c r="CP218" s="472"/>
    </row>
    <row r="219" spans="2:94" x14ac:dyDescent="0.25">
      <c r="B219" s="617"/>
      <c r="C219" s="593"/>
      <c r="D219" s="594"/>
      <c r="E219" s="594"/>
      <c r="F219" s="407"/>
      <c r="G219" s="408"/>
      <c r="H219" s="408"/>
      <c r="I219" s="408"/>
      <c r="J219" s="408"/>
      <c r="K219" s="408"/>
      <c r="L219" s="408"/>
      <c r="M219" s="408"/>
      <c r="N219" s="595"/>
      <c r="O219" s="596"/>
      <c r="P219" s="596"/>
      <c r="Q219" s="597"/>
      <c r="R219" s="596"/>
      <c r="S219" s="596"/>
      <c r="T219" s="596"/>
      <c r="U219" s="598"/>
      <c r="V219" s="624"/>
      <c r="W219" s="600"/>
      <c r="X219" s="600"/>
      <c r="Y219" s="600"/>
      <c r="Z219" s="600"/>
      <c r="AA219" s="600"/>
      <c r="AB219" s="601"/>
      <c r="AC219" s="624"/>
      <c r="AD219" s="624"/>
      <c r="AE219" s="624"/>
      <c r="AF219" s="624"/>
      <c r="AG219" s="624"/>
      <c r="AH219" s="624"/>
      <c r="AI219" s="625"/>
      <c r="AJ219" s="626"/>
      <c r="AK219" s="602"/>
      <c r="AL219" s="627"/>
      <c r="AM219" s="600"/>
      <c r="AN219" s="600"/>
      <c r="AO219" s="600"/>
      <c r="AP219" s="600"/>
      <c r="AQ219" s="600"/>
      <c r="AR219" s="600"/>
      <c r="AS219" s="628"/>
      <c r="AT219" s="605"/>
      <c r="AU219" s="600"/>
      <c r="AV219" s="600"/>
      <c r="AW219" s="600"/>
      <c r="AX219" s="600"/>
      <c r="AY219" s="600"/>
      <c r="AZ219" s="600"/>
      <c r="BA219" s="600"/>
      <c r="BB219" s="600"/>
      <c r="BC219" s="600"/>
      <c r="BD219" s="600"/>
      <c r="BE219" s="600"/>
      <c r="BF219" s="600"/>
      <c r="BG219" s="600"/>
      <c r="BH219" s="600"/>
      <c r="BI219" s="600"/>
      <c r="BJ219" s="600"/>
      <c r="BK219" s="600"/>
      <c r="BL219" s="600"/>
      <c r="BM219" s="600"/>
      <c r="BN219" s="600"/>
      <c r="BO219" s="600"/>
      <c r="BP219" s="600"/>
      <c r="BQ219" s="600"/>
      <c r="BR219" s="600"/>
      <c r="BT219" s="606"/>
      <c r="BU219" s="607"/>
      <c r="BV219" s="607"/>
      <c r="BW219" s="607"/>
      <c r="BX219" s="607"/>
      <c r="BY219" s="607"/>
      <c r="BZ219" s="607"/>
      <c r="CA219" s="607"/>
      <c r="CB219" s="607"/>
      <c r="CC219" s="607"/>
      <c r="CD219" s="607"/>
      <c r="CE219" s="607"/>
      <c r="CF219" s="607"/>
      <c r="CG219" s="607"/>
      <c r="CH219" s="607"/>
      <c r="CI219" s="609"/>
      <c r="CK219" s="610"/>
      <c r="CL219" s="611"/>
      <c r="CM219" s="612"/>
      <c r="CN219" s="613"/>
      <c r="CP219" s="472"/>
    </row>
    <row r="220" spans="2:94" x14ac:dyDescent="0.25">
      <c r="B220" s="617"/>
      <c r="C220" s="593"/>
      <c r="D220" s="594"/>
      <c r="E220" s="594"/>
      <c r="F220" s="407"/>
      <c r="G220" s="408"/>
      <c r="H220" s="408"/>
      <c r="I220" s="408"/>
      <c r="J220" s="408"/>
      <c r="K220" s="408"/>
      <c r="L220" s="408"/>
      <c r="M220" s="408"/>
      <c r="N220" s="595"/>
      <c r="O220" s="596"/>
      <c r="P220" s="596"/>
      <c r="Q220" s="597"/>
      <c r="R220" s="596"/>
      <c r="S220" s="596"/>
      <c r="T220" s="596"/>
      <c r="U220" s="598"/>
      <c r="V220" s="624"/>
      <c r="W220" s="600"/>
      <c r="X220" s="600"/>
      <c r="Y220" s="600"/>
      <c r="Z220" s="600"/>
      <c r="AA220" s="600"/>
      <c r="AB220" s="601"/>
      <c r="AC220" s="624"/>
      <c r="AD220" s="624"/>
      <c r="AE220" s="624"/>
      <c r="AF220" s="624"/>
      <c r="AG220" s="624"/>
      <c r="AH220" s="624"/>
      <c r="AI220" s="625"/>
      <c r="AJ220" s="626"/>
      <c r="AK220" s="602"/>
      <c r="AL220" s="627"/>
      <c r="AM220" s="600"/>
      <c r="AN220" s="600"/>
      <c r="AO220" s="600"/>
      <c r="AP220" s="600"/>
      <c r="AQ220" s="600"/>
      <c r="AR220" s="600"/>
      <c r="AS220" s="628"/>
      <c r="AT220" s="605"/>
      <c r="AU220" s="600"/>
      <c r="AV220" s="600"/>
      <c r="AW220" s="600"/>
      <c r="AX220" s="600"/>
      <c r="AY220" s="600"/>
      <c r="AZ220" s="600"/>
      <c r="BA220" s="600"/>
      <c r="BB220" s="600"/>
      <c r="BC220" s="600"/>
      <c r="BD220" s="600"/>
      <c r="BE220" s="600"/>
      <c r="BF220" s="600"/>
      <c r="BG220" s="600"/>
      <c r="BH220" s="600"/>
      <c r="BI220" s="600"/>
      <c r="BJ220" s="600"/>
      <c r="BK220" s="600"/>
      <c r="BL220" s="600"/>
      <c r="BM220" s="600"/>
      <c r="BN220" s="600"/>
      <c r="BO220" s="600"/>
      <c r="BP220" s="600"/>
      <c r="BQ220" s="600"/>
      <c r="BR220" s="600"/>
      <c r="BT220" s="606"/>
      <c r="BU220" s="607"/>
      <c r="BV220" s="607"/>
      <c r="BW220" s="607"/>
      <c r="BX220" s="607"/>
      <c r="BY220" s="607"/>
      <c r="BZ220" s="607"/>
      <c r="CA220" s="607"/>
      <c r="CB220" s="607"/>
      <c r="CC220" s="607"/>
      <c r="CD220" s="607"/>
      <c r="CE220" s="607"/>
      <c r="CF220" s="607"/>
      <c r="CG220" s="607"/>
      <c r="CH220" s="607"/>
      <c r="CI220" s="609"/>
      <c r="CK220" s="610"/>
      <c r="CL220" s="611"/>
      <c r="CM220" s="612"/>
      <c r="CN220" s="613"/>
      <c r="CP220" s="472"/>
    </row>
    <row r="221" spans="2:94" x14ac:dyDescent="0.25">
      <c r="B221" s="617"/>
      <c r="C221" s="593"/>
      <c r="D221" s="594"/>
      <c r="E221" s="594"/>
      <c r="F221" s="407"/>
      <c r="G221" s="408"/>
      <c r="H221" s="408"/>
      <c r="I221" s="408"/>
      <c r="J221" s="408"/>
      <c r="K221" s="408"/>
      <c r="L221" s="408"/>
      <c r="M221" s="408"/>
      <c r="N221" s="595"/>
      <c r="O221" s="596"/>
      <c r="P221" s="596"/>
      <c r="Q221" s="597"/>
      <c r="R221" s="596"/>
      <c r="S221" s="596"/>
      <c r="T221" s="596"/>
      <c r="U221" s="598"/>
      <c r="V221" s="624"/>
      <c r="W221" s="600"/>
      <c r="X221" s="600"/>
      <c r="Y221" s="600"/>
      <c r="Z221" s="600"/>
      <c r="AA221" s="600"/>
      <c r="AB221" s="601"/>
      <c r="AC221" s="624"/>
      <c r="AD221" s="624"/>
      <c r="AE221" s="624"/>
      <c r="AF221" s="624"/>
      <c r="AG221" s="624"/>
      <c r="AH221" s="624"/>
      <c r="AI221" s="625"/>
      <c r="AJ221" s="626"/>
      <c r="AK221" s="602"/>
      <c r="AL221" s="627"/>
      <c r="AM221" s="600"/>
      <c r="AN221" s="600"/>
      <c r="AO221" s="600"/>
      <c r="AP221" s="600"/>
      <c r="AQ221" s="600"/>
      <c r="AR221" s="600"/>
      <c r="AS221" s="628"/>
      <c r="AT221" s="605"/>
      <c r="AU221" s="600"/>
      <c r="AV221" s="600"/>
      <c r="AW221" s="600"/>
      <c r="AX221" s="600"/>
      <c r="AY221" s="600"/>
      <c r="AZ221" s="600"/>
      <c r="BA221" s="600"/>
      <c r="BB221" s="600"/>
      <c r="BC221" s="600"/>
      <c r="BD221" s="600"/>
      <c r="BE221" s="600"/>
      <c r="BF221" s="600"/>
      <c r="BG221" s="600"/>
      <c r="BH221" s="600"/>
      <c r="BI221" s="600"/>
      <c r="BJ221" s="600"/>
      <c r="BK221" s="600"/>
      <c r="BL221" s="600"/>
      <c r="BM221" s="600"/>
      <c r="BN221" s="600"/>
      <c r="BO221" s="600"/>
      <c r="BP221" s="600"/>
      <c r="BQ221" s="600"/>
      <c r="BR221" s="600"/>
      <c r="BT221" s="606"/>
      <c r="BU221" s="607"/>
      <c r="BV221" s="607"/>
      <c r="BW221" s="607"/>
      <c r="BX221" s="607"/>
      <c r="BY221" s="607"/>
      <c r="BZ221" s="607"/>
      <c r="CA221" s="607"/>
      <c r="CB221" s="607"/>
      <c r="CC221" s="607"/>
      <c r="CD221" s="607"/>
      <c r="CE221" s="607"/>
      <c r="CF221" s="607"/>
      <c r="CG221" s="607"/>
      <c r="CH221" s="607"/>
      <c r="CI221" s="609"/>
      <c r="CK221" s="610"/>
      <c r="CL221" s="611"/>
      <c r="CM221" s="612"/>
      <c r="CN221" s="613"/>
      <c r="CP221" s="472"/>
    </row>
    <row r="222" spans="2:94" x14ac:dyDescent="0.25">
      <c r="B222" s="617"/>
      <c r="C222" s="593"/>
      <c r="D222" s="594"/>
      <c r="E222" s="594"/>
      <c r="F222" s="407"/>
      <c r="G222" s="408"/>
      <c r="H222" s="408"/>
      <c r="I222" s="408"/>
      <c r="J222" s="408"/>
      <c r="K222" s="408"/>
      <c r="L222" s="408"/>
      <c r="M222" s="408"/>
      <c r="N222" s="595"/>
      <c r="O222" s="596"/>
      <c r="P222" s="596"/>
      <c r="Q222" s="597"/>
      <c r="R222" s="596"/>
      <c r="S222" s="596"/>
      <c r="T222" s="596"/>
      <c r="U222" s="598"/>
      <c r="V222" s="624"/>
      <c r="W222" s="600"/>
      <c r="X222" s="600"/>
      <c r="Y222" s="600"/>
      <c r="Z222" s="600"/>
      <c r="AA222" s="600"/>
      <c r="AB222" s="601"/>
      <c r="AC222" s="624"/>
      <c r="AD222" s="624"/>
      <c r="AE222" s="624"/>
      <c r="AF222" s="624"/>
      <c r="AG222" s="624"/>
      <c r="AH222" s="624"/>
      <c r="AI222" s="625"/>
      <c r="AJ222" s="626"/>
      <c r="AK222" s="602"/>
      <c r="AL222" s="627"/>
      <c r="AM222" s="600"/>
      <c r="AN222" s="600"/>
      <c r="AO222" s="600"/>
      <c r="AP222" s="600"/>
      <c r="AQ222" s="600"/>
      <c r="AR222" s="600"/>
      <c r="AS222" s="628"/>
      <c r="AT222" s="605"/>
      <c r="AU222" s="600"/>
      <c r="AV222" s="600"/>
      <c r="AW222" s="600"/>
      <c r="AX222" s="600"/>
      <c r="AY222" s="600"/>
      <c r="AZ222" s="600"/>
      <c r="BA222" s="600"/>
      <c r="BB222" s="600"/>
      <c r="BC222" s="600"/>
      <c r="BD222" s="600"/>
      <c r="BE222" s="600"/>
      <c r="BF222" s="600"/>
      <c r="BG222" s="600"/>
      <c r="BH222" s="600"/>
      <c r="BI222" s="600"/>
      <c r="BJ222" s="600"/>
      <c r="BK222" s="600"/>
      <c r="BL222" s="600"/>
      <c r="BM222" s="600"/>
      <c r="BN222" s="600"/>
      <c r="BO222" s="600"/>
      <c r="BP222" s="600"/>
      <c r="BQ222" s="600"/>
      <c r="BR222" s="600"/>
      <c r="BT222" s="606"/>
      <c r="BU222" s="607"/>
      <c r="BV222" s="607"/>
      <c r="BW222" s="607"/>
      <c r="BX222" s="607"/>
      <c r="BY222" s="607"/>
      <c r="BZ222" s="607"/>
      <c r="CA222" s="607"/>
      <c r="CB222" s="607"/>
      <c r="CC222" s="607"/>
      <c r="CD222" s="607"/>
      <c r="CE222" s="607"/>
      <c r="CF222" s="607"/>
      <c r="CG222" s="607"/>
      <c r="CH222" s="607"/>
      <c r="CI222" s="609"/>
      <c r="CK222" s="610"/>
      <c r="CL222" s="611"/>
      <c r="CM222" s="612"/>
      <c r="CN222" s="613"/>
      <c r="CP222" s="472"/>
    </row>
    <row r="223" spans="2:94" x14ac:dyDescent="0.25">
      <c r="B223" s="617"/>
      <c r="C223" s="593"/>
      <c r="D223" s="594"/>
      <c r="E223" s="594"/>
      <c r="F223" s="407"/>
      <c r="G223" s="408"/>
      <c r="H223" s="408"/>
      <c r="I223" s="408"/>
      <c r="J223" s="408"/>
      <c r="K223" s="408"/>
      <c r="L223" s="408"/>
      <c r="M223" s="408"/>
      <c r="N223" s="595"/>
      <c r="O223" s="596"/>
      <c r="P223" s="596"/>
      <c r="Q223" s="597"/>
      <c r="R223" s="596"/>
      <c r="S223" s="596"/>
      <c r="T223" s="596"/>
      <c r="U223" s="598"/>
      <c r="V223" s="624"/>
      <c r="W223" s="600"/>
      <c r="X223" s="600"/>
      <c r="Y223" s="600"/>
      <c r="Z223" s="600"/>
      <c r="AA223" s="600"/>
      <c r="AB223" s="601"/>
      <c r="AC223" s="624"/>
      <c r="AD223" s="624"/>
      <c r="AE223" s="624"/>
      <c r="AF223" s="624"/>
      <c r="AG223" s="624"/>
      <c r="AH223" s="624"/>
      <c r="AI223" s="625"/>
      <c r="AJ223" s="626"/>
      <c r="AK223" s="602"/>
      <c r="AL223" s="627"/>
      <c r="AM223" s="600"/>
      <c r="AN223" s="600"/>
      <c r="AO223" s="600"/>
      <c r="AP223" s="600"/>
      <c r="AQ223" s="600"/>
      <c r="AR223" s="600"/>
      <c r="AS223" s="628"/>
      <c r="AT223" s="605"/>
      <c r="AU223" s="600"/>
      <c r="AV223" s="600"/>
      <c r="AW223" s="600"/>
      <c r="AX223" s="600"/>
      <c r="AY223" s="600"/>
      <c r="AZ223" s="600"/>
      <c r="BA223" s="600"/>
      <c r="BB223" s="600"/>
      <c r="BC223" s="600"/>
      <c r="BD223" s="600"/>
      <c r="BE223" s="600"/>
      <c r="BF223" s="600"/>
      <c r="BG223" s="600"/>
      <c r="BH223" s="600"/>
      <c r="BI223" s="600"/>
      <c r="BJ223" s="600"/>
      <c r="BK223" s="600"/>
      <c r="BL223" s="600"/>
      <c r="BM223" s="600"/>
      <c r="BN223" s="600"/>
      <c r="BO223" s="600"/>
      <c r="BP223" s="600"/>
      <c r="BQ223" s="600"/>
      <c r="BR223" s="600"/>
      <c r="BT223" s="606"/>
      <c r="BU223" s="607"/>
      <c r="BV223" s="607"/>
      <c r="BW223" s="607"/>
      <c r="BX223" s="607"/>
      <c r="BY223" s="607"/>
      <c r="BZ223" s="607"/>
      <c r="CA223" s="607"/>
      <c r="CB223" s="607"/>
      <c r="CC223" s="607"/>
      <c r="CD223" s="607"/>
      <c r="CE223" s="607"/>
      <c r="CF223" s="607"/>
      <c r="CG223" s="607"/>
      <c r="CH223" s="607"/>
      <c r="CI223" s="609"/>
      <c r="CK223" s="610"/>
      <c r="CL223" s="611"/>
      <c r="CM223" s="612"/>
      <c r="CN223" s="613"/>
      <c r="CP223" s="472"/>
    </row>
    <row r="224" spans="2:94" x14ac:dyDescent="0.25">
      <c r="B224" s="617"/>
      <c r="C224" s="593"/>
      <c r="D224" s="594"/>
      <c r="E224" s="594"/>
      <c r="F224" s="407"/>
      <c r="G224" s="408"/>
      <c r="H224" s="408"/>
      <c r="I224" s="408"/>
      <c r="J224" s="408"/>
      <c r="K224" s="408"/>
      <c r="L224" s="408"/>
      <c r="M224" s="408"/>
      <c r="N224" s="595"/>
      <c r="O224" s="596"/>
      <c r="P224" s="596"/>
      <c r="Q224" s="597"/>
      <c r="R224" s="596"/>
      <c r="S224" s="596"/>
      <c r="T224" s="596"/>
      <c r="U224" s="598"/>
      <c r="V224" s="624"/>
      <c r="W224" s="600"/>
      <c r="X224" s="600"/>
      <c r="Y224" s="600"/>
      <c r="Z224" s="600"/>
      <c r="AA224" s="600"/>
      <c r="AB224" s="601"/>
      <c r="AC224" s="624"/>
      <c r="AD224" s="624"/>
      <c r="AE224" s="624"/>
      <c r="AF224" s="624"/>
      <c r="AG224" s="624"/>
      <c r="AH224" s="624"/>
      <c r="AI224" s="625"/>
      <c r="AJ224" s="626"/>
      <c r="AK224" s="602"/>
      <c r="AL224" s="627"/>
      <c r="AM224" s="600"/>
      <c r="AN224" s="600"/>
      <c r="AO224" s="600"/>
      <c r="AP224" s="600"/>
      <c r="AQ224" s="600"/>
      <c r="AR224" s="600"/>
      <c r="AS224" s="628"/>
      <c r="AT224" s="605"/>
      <c r="AU224" s="600"/>
      <c r="AV224" s="600"/>
      <c r="AW224" s="600"/>
      <c r="AX224" s="600"/>
      <c r="AY224" s="600"/>
      <c r="AZ224" s="600"/>
      <c r="BA224" s="600"/>
      <c r="BB224" s="600"/>
      <c r="BC224" s="600"/>
      <c r="BD224" s="600"/>
      <c r="BE224" s="600"/>
      <c r="BF224" s="600"/>
      <c r="BG224" s="600"/>
      <c r="BH224" s="600"/>
      <c r="BI224" s="600"/>
      <c r="BJ224" s="600"/>
      <c r="BK224" s="600"/>
      <c r="BL224" s="600"/>
      <c r="BM224" s="600"/>
      <c r="BN224" s="600"/>
      <c r="BO224" s="600"/>
      <c r="BP224" s="600"/>
      <c r="BQ224" s="600"/>
      <c r="BR224" s="600"/>
      <c r="BT224" s="606"/>
      <c r="BU224" s="607"/>
      <c r="BV224" s="607"/>
      <c r="BW224" s="607"/>
      <c r="BX224" s="607"/>
      <c r="BY224" s="607"/>
      <c r="BZ224" s="607"/>
      <c r="CA224" s="607"/>
      <c r="CB224" s="607"/>
      <c r="CC224" s="607"/>
      <c r="CD224" s="607"/>
      <c r="CE224" s="607"/>
      <c r="CF224" s="607"/>
      <c r="CG224" s="607"/>
      <c r="CH224" s="607"/>
      <c r="CI224" s="609"/>
      <c r="CK224" s="610"/>
      <c r="CL224" s="611"/>
      <c r="CM224" s="612"/>
      <c r="CN224" s="613"/>
      <c r="CP224" s="472"/>
    </row>
    <row r="225" spans="2:94" x14ac:dyDescent="0.25">
      <c r="B225" s="617"/>
      <c r="C225" s="593"/>
      <c r="D225" s="594"/>
      <c r="E225" s="594"/>
      <c r="F225" s="407"/>
      <c r="G225" s="408"/>
      <c r="H225" s="408"/>
      <c r="I225" s="408"/>
      <c r="J225" s="408"/>
      <c r="K225" s="408"/>
      <c r="L225" s="408"/>
      <c r="M225" s="408"/>
      <c r="N225" s="595"/>
      <c r="O225" s="596"/>
      <c r="P225" s="596"/>
      <c r="Q225" s="597"/>
      <c r="R225" s="596"/>
      <c r="S225" s="596"/>
      <c r="T225" s="596"/>
      <c r="U225" s="598"/>
      <c r="V225" s="624"/>
      <c r="W225" s="600"/>
      <c r="X225" s="600"/>
      <c r="Y225" s="600"/>
      <c r="Z225" s="600"/>
      <c r="AA225" s="600"/>
      <c r="AB225" s="601"/>
      <c r="AC225" s="624"/>
      <c r="AD225" s="624"/>
      <c r="AE225" s="624"/>
      <c r="AF225" s="624"/>
      <c r="AG225" s="624"/>
      <c r="AH225" s="624"/>
      <c r="AI225" s="625"/>
      <c r="AJ225" s="626"/>
      <c r="AK225" s="602"/>
      <c r="AL225" s="627"/>
      <c r="AM225" s="600"/>
      <c r="AN225" s="600"/>
      <c r="AO225" s="600"/>
      <c r="AP225" s="600"/>
      <c r="AQ225" s="600"/>
      <c r="AR225" s="600"/>
      <c r="AS225" s="628"/>
      <c r="AT225" s="605"/>
      <c r="AU225" s="600"/>
      <c r="AV225" s="600"/>
      <c r="AW225" s="600"/>
      <c r="AX225" s="600"/>
      <c r="AY225" s="600"/>
      <c r="AZ225" s="600"/>
      <c r="BA225" s="600"/>
      <c r="BB225" s="600"/>
      <c r="BC225" s="600"/>
      <c r="BD225" s="600"/>
      <c r="BE225" s="600"/>
      <c r="BF225" s="600"/>
      <c r="BG225" s="600"/>
      <c r="BH225" s="600"/>
      <c r="BI225" s="600"/>
      <c r="BJ225" s="600"/>
      <c r="BK225" s="600"/>
      <c r="BL225" s="600"/>
      <c r="BM225" s="600"/>
      <c r="BN225" s="600"/>
      <c r="BO225" s="600"/>
      <c r="BP225" s="600"/>
      <c r="BQ225" s="600"/>
      <c r="BR225" s="600"/>
      <c r="BT225" s="606"/>
      <c r="BU225" s="607"/>
      <c r="BV225" s="607"/>
      <c r="BW225" s="607"/>
      <c r="BX225" s="607"/>
      <c r="BY225" s="607"/>
      <c r="BZ225" s="607"/>
      <c r="CA225" s="607"/>
      <c r="CB225" s="607"/>
      <c r="CC225" s="607"/>
      <c r="CD225" s="607"/>
      <c r="CE225" s="607"/>
      <c r="CF225" s="607"/>
      <c r="CG225" s="607"/>
      <c r="CH225" s="607"/>
      <c r="CI225" s="609"/>
      <c r="CK225" s="610"/>
      <c r="CL225" s="611"/>
      <c r="CM225" s="612"/>
      <c r="CN225" s="613"/>
      <c r="CP225" s="472"/>
    </row>
    <row r="226" spans="2:94" x14ac:dyDescent="0.25">
      <c r="B226" s="617"/>
      <c r="C226" s="593"/>
      <c r="D226" s="594"/>
      <c r="E226" s="594"/>
      <c r="F226" s="407"/>
      <c r="G226" s="408"/>
      <c r="H226" s="408"/>
      <c r="I226" s="408"/>
      <c r="J226" s="408"/>
      <c r="K226" s="408"/>
      <c r="L226" s="408"/>
      <c r="M226" s="408"/>
      <c r="N226" s="595"/>
      <c r="O226" s="596"/>
      <c r="P226" s="596"/>
      <c r="Q226" s="597"/>
      <c r="R226" s="596"/>
      <c r="S226" s="596"/>
      <c r="T226" s="596"/>
      <c r="U226" s="598"/>
      <c r="V226" s="624"/>
      <c r="W226" s="600"/>
      <c r="X226" s="600"/>
      <c r="Y226" s="600"/>
      <c r="Z226" s="600"/>
      <c r="AA226" s="600"/>
      <c r="AB226" s="601"/>
      <c r="AC226" s="624"/>
      <c r="AD226" s="624"/>
      <c r="AE226" s="624"/>
      <c r="AF226" s="624"/>
      <c r="AG226" s="624"/>
      <c r="AH226" s="624"/>
      <c r="AI226" s="625"/>
      <c r="AJ226" s="626"/>
      <c r="AK226" s="602"/>
      <c r="AL226" s="627"/>
      <c r="AM226" s="600"/>
      <c r="AN226" s="600"/>
      <c r="AO226" s="600"/>
      <c r="AP226" s="600"/>
      <c r="AQ226" s="600"/>
      <c r="AR226" s="600"/>
      <c r="AS226" s="628"/>
      <c r="AT226" s="605"/>
      <c r="AU226" s="600"/>
      <c r="AV226" s="600"/>
      <c r="AW226" s="600"/>
      <c r="AX226" s="600"/>
      <c r="AY226" s="600"/>
      <c r="AZ226" s="600"/>
      <c r="BA226" s="600"/>
      <c r="BB226" s="600"/>
      <c r="BC226" s="600"/>
      <c r="BD226" s="600"/>
      <c r="BE226" s="600"/>
      <c r="BF226" s="600"/>
      <c r="BG226" s="600"/>
      <c r="BH226" s="600"/>
      <c r="BI226" s="600"/>
      <c r="BJ226" s="600"/>
      <c r="BK226" s="600"/>
      <c r="BL226" s="600"/>
      <c r="BM226" s="600"/>
      <c r="BN226" s="600"/>
      <c r="BO226" s="600"/>
      <c r="BP226" s="600"/>
      <c r="BQ226" s="600"/>
      <c r="BR226" s="600"/>
      <c r="BT226" s="606"/>
      <c r="BU226" s="607"/>
      <c r="BV226" s="607"/>
      <c r="BW226" s="607"/>
      <c r="BX226" s="607"/>
      <c r="BY226" s="607"/>
      <c r="BZ226" s="607"/>
      <c r="CA226" s="607"/>
      <c r="CB226" s="607"/>
      <c r="CC226" s="607"/>
      <c r="CD226" s="607"/>
      <c r="CE226" s="607"/>
      <c r="CF226" s="607"/>
      <c r="CG226" s="607"/>
      <c r="CH226" s="607"/>
      <c r="CI226" s="609"/>
      <c r="CK226" s="610"/>
      <c r="CL226" s="611"/>
      <c r="CM226" s="612"/>
      <c r="CN226" s="613"/>
      <c r="CP226" s="472"/>
    </row>
    <row r="227" spans="2:94" x14ac:dyDescent="0.25">
      <c r="B227" s="617"/>
      <c r="C227" s="593"/>
      <c r="D227" s="594"/>
      <c r="E227" s="594"/>
      <c r="F227" s="407"/>
      <c r="G227" s="408"/>
      <c r="H227" s="408"/>
      <c r="I227" s="408"/>
      <c r="J227" s="408"/>
      <c r="K227" s="408"/>
      <c r="L227" s="408"/>
      <c r="M227" s="408"/>
      <c r="N227" s="595"/>
      <c r="O227" s="596"/>
      <c r="P227" s="596"/>
      <c r="Q227" s="597"/>
      <c r="R227" s="596"/>
      <c r="S227" s="596"/>
      <c r="T227" s="596"/>
      <c r="U227" s="598"/>
      <c r="V227" s="624"/>
      <c r="W227" s="600"/>
      <c r="X227" s="600"/>
      <c r="Y227" s="600"/>
      <c r="Z227" s="600"/>
      <c r="AA227" s="600"/>
      <c r="AB227" s="601"/>
      <c r="AC227" s="624"/>
      <c r="AD227" s="624"/>
      <c r="AE227" s="624"/>
      <c r="AF227" s="624"/>
      <c r="AG227" s="624"/>
      <c r="AH227" s="624"/>
      <c r="AI227" s="625"/>
      <c r="AJ227" s="626"/>
      <c r="AK227" s="602"/>
      <c r="AL227" s="627"/>
      <c r="AM227" s="600"/>
      <c r="AN227" s="600"/>
      <c r="AO227" s="600"/>
      <c r="AP227" s="600"/>
      <c r="AQ227" s="600"/>
      <c r="AR227" s="600"/>
      <c r="AS227" s="628"/>
      <c r="AT227" s="605"/>
      <c r="AU227" s="600"/>
      <c r="AV227" s="600"/>
      <c r="AW227" s="600"/>
      <c r="AX227" s="600"/>
      <c r="AY227" s="600"/>
      <c r="AZ227" s="600"/>
      <c r="BA227" s="600"/>
      <c r="BB227" s="600"/>
      <c r="BC227" s="600"/>
      <c r="BD227" s="600"/>
      <c r="BE227" s="600"/>
      <c r="BF227" s="600"/>
      <c r="BG227" s="600"/>
      <c r="BH227" s="600"/>
      <c r="BI227" s="600"/>
      <c r="BJ227" s="600"/>
      <c r="BK227" s="600"/>
      <c r="BL227" s="600"/>
      <c r="BM227" s="600"/>
      <c r="BN227" s="600"/>
      <c r="BO227" s="600"/>
      <c r="BP227" s="600"/>
      <c r="BQ227" s="600"/>
      <c r="BR227" s="600"/>
      <c r="BT227" s="606"/>
      <c r="BU227" s="607"/>
      <c r="BV227" s="607"/>
      <c r="BW227" s="607"/>
      <c r="BX227" s="607"/>
      <c r="BY227" s="607"/>
      <c r="BZ227" s="607"/>
      <c r="CA227" s="607"/>
      <c r="CB227" s="607"/>
      <c r="CC227" s="607"/>
      <c r="CD227" s="607"/>
      <c r="CE227" s="607"/>
      <c r="CF227" s="607"/>
      <c r="CG227" s="607"/>
      <c r="CH227" s="607"/>
      <c r="CI227" s="609"/>
      <c r="CK227" s="610"/>
      <c r="CL227" s="611"/>
      <c r="CM227" s="612"/>
      <c r="CN227" s="613"/>
      <c r="CP227" s="472"/>
    </row>
    <row r="228" spans="2:94" x14ac:dyDescent="0.25">
      <c r="B228" s="617"/>
      <c r="C228" s="593"/>
      <c r="D228" s="594"/>
      <c r="E228" s="594"/>
      <c r="F228" s="407"/>
      <c r="G228" s="408"/>
      <c r="H228" s="408"/>
      <c r="I228" s="408"/>
      <c r="J228" s="408"/>
      <c r="K228" s="408"/>
      <c r="L228" s="408"/>
      <c r="M228" s="408"/>
      <c r="N228" s="595"/>
      <c r="O228" s="596"/>
      <c r="P228" s="596"/>
      <c r="Q228" s="597"/>
      <c r="R228" s="596"/>
      <c r="S228" s="596"/>
      <c r="T228" s="596"/>
      <c r="U228" s="598"/>
      <c r="V228" s="624"/>
      <c r="W228" s="600"/>
      <c r="X228" s="600"/>
      <c r="Y228" s="600"/>
      <c r="Z228" s="600"/>
      <c r="AA228" s="600"/>
      <c r="AB228" s="601"/>
      <c r="AC228" s="624"/>
      <c r="AD228" s="624"/>
      <c r="AE228" s="624"/>
      <c r="AF228" s="624"/>
      <c r="AG228" s="624"/>
      <c r="AH228" s="624"/>
      <c r="AI228" s="625"/>
      <c r="AJ228" s="626"/>
      <c r="AK228" s="602"/>
      <c r="AL228" s="627"/>
      <c r="AM228" s="600"/>
      <c r="AN228" s="600"/>
      <c r="AO228" s="600"/>
      <c r="AP228" s="600"/>
      <c r="AQ228" s="600"/>
      <c r="AR228" s="600"/>
      <c r="AS228" s="628"/>
      <c r="AT228" s="605"/>
      <c r="AU228" s="600"/>
      <c r="AV228" s="600"/>
      <c r="AW228" s="600"/>
      <c r="AX228" s="600"/>
      <c r="AY228" s="600"/>
      <c r="AZ228" s="600"/>
      <c r="BA228" s="600"/>
      <c r="BB228" s="600"/>
      <c r="BC228" s="600"/>
      <c r="BD228" s="600"/>
      <c r="BE228" s="600"/>
      <c r="BF228" s="600"/>
      <c r="BG228" s="600"/>
      <c r="BH228" s="600"/>
      <c r="BI228" s="600"/>
      <c r="BJ228" s="600"/>
      <c r="BK228" s="600"/>
      <c r="BL228" s="600"/>
      <c r="BM228" s="600"/>
      <c r="BN228" s="600"/>
      <c r="BO228" s="600"/>
      <c r="BP228" s="600"/>
      <c r="BQ228" s="600"/>
      <c r="BR228" s="600"/>
      <c r="BT228" s="606"/>
      <c r="BU228" s="607"/>
      <c r="BV228" s="607"/>
      <c r="BW228" s="607"/>
      <c r="BX228" s="607"/>
      <c r="BY228" s="607"/>
      <c r="BZ228" s="607"/>
      <c r="CA228" s="607"/>
      <c r="CB228" s="607"/>
      <c r="CC228" s="607"/>
      <c r="CD228" s="607"/>
      <c r="CE228" s="607"/>
      <c r="CF228" s="607"/>
      <c r="CG228" s="607"/>
      <c r="CH228" s="607"/>
      <c r="CI228" s="609"/>
      <c r="CK228" s="610"/>
      <c r="CL228" s="611"/>
      <c r="CM228" s="612"/>
      <c r="CN228" s="613"/>
      <c r="CP228" s="472"/>
    </row>
    <row r="229" spans="2:94" x14ac:dyDescent="0.25">
      <c r="B229" s="617"/>
      <c r="C229" s="593"/>
      <c r="D229" s="594"/>
      <c r="E229" s="594"/>
      <c r="F229" s="407"/>
      <c r="G229" s="408"/>
      <c r="H229" s="408"/>
      <c r="I229" s="408"/>
      <c r="J229" s="408"/>
      <c r="K229" s="408"/>
      <c r="L229" s="408"/>
      <c r="M229" s="408"/>
      <c r="N229" s="595"/>
      <c r="O229" s="596"/>
      <c r="P229" s="596"/>
      <c r="Q229" s="597"/>
      <c r="R229" s="596"/>
      <c r="S229" s="596"/>
      <c r="T229" s="596"/>
      <c r="U229" s="598"/>
      <c r="V229" s="624"/>
      <c r="W229" s="600"/>
      <c r="X229" s="600"/>
      <c r="Y229" s="600"/>
      <c r="Z229" s="600"/>
      <c r="AA229" s="600"/>
      <c r="AB229" s="601"/>
      <c r="AC229" s="624"/>
      <c r="AD229" s="624"/>
      <c r="AE229" s="624"/>
      <c r="AF229" s="624"/>
      <c r="AG229" s="624"/>
      <c r="AH229" s="624"/>
      <c r="AI229" s="625"/>
      <c r="AJ229" s="626"/>
      <c r="AK229" s="602"/>
      <c r="AL229" s="627"/>
      <c r="AM229" s="600"/>
      <c r="AN229" s="600"/>
      <c r="AO229" s="600"/>
      <c r="AP229" s="600"/>
      <c r="AQ229" s="600"/>
      <c r="AR229" s="600"/>
      <c r="AS229" s="628"/>
      <c r="AT229" s="605"/>
      <c r="AU229" s="600"/>
      <c r="AV229" s="600"/>
      <c r="AW229" s="600"/>
      <c r="AX229" s="600"/>
      <c r="AY229" s="600"/>
      <c r="AZ229" s="600"/>
      <c r="BA229" s="600"/>
      <c r="BB229" s="600"/>
      <c r="BC229" s="600"/>
      <c r="BD229" s="600"/>
      <c r="BE229" s="600"/>
      <c r="BF229" s="600"/>
      <c r="BG229" s="600"/>
      <c r="BH229" s="600"/>
      <c r="BI229" s="600"/>
      <c r="BJ229" s="600"/>
      <c r="BK229" s="600"/>
      <c r="BL229" s="600"/>
      <c r="BM229" s="600"/>
      <c r="BN229" s="600"/>
      <c r="BO229" s="600"/>
      <c r="BP229" s="600"/>
      <c r="BQ229" s="600"/>
      <c r="BR229" s="600"/>
      <c r="BT229" s="606"/>
      <c r="BU229" s="607"/>
      <c r="BV229" s="607"/>
      <c r="BW229" s="607"/>
      <c r="BX229" s="607"/>
      <c r="BY229" s="607"/>
      <c r="BZ229" s="607"/>
      <c r="CA229" s="607"/>
      <c r="CB229" s="607"/>
      <c r="CC229" s="607"/>
      <c r="CD229" s="607"/>
      <c r="CE229" s="607"/>
      <c r="CF229" s="607"/>
      <c r="CG229" s="607"/>
      <c r="CH229" s="607"/>
      <c r="CI229" s="609"/>
      <c r="CK229" s="610"/>
      <c r="CL229" s="611"/>
      <c r="CM229" s="612"/>
      <c r="CN229" s="613"/>
      <c r="CP229" s="472"/>
    </row>
    <row r="230" spans="2:94" x14ac:dyDescent="0.25">
      <c r="B230" s="617"/>
      <c r="C230" s="593"/>
      <c r="D230" s="594"/>
      <c r="E230" s="594"/>
      <c r="F230" s="407"/>
      <c r="G230" s="408"/>
      <c r="H230" s="408"/>
      <c r="I230" s="408"/>
      <c r="J230" s="408"/>
      <c r="K230" s="408"/>
      <c r="L230" s="408"/>
      <c r="M230" s="408"/>
      <c r="N230" s="595"/>
      <c r="O230" s="596"/>
      <c r="P230" s="596"/>
      <c r="Q230" s="597"/>
      <c r="R230" s="596"/>
      <c r="S230" s="596"/>
      <c r="T230" s="596"/>
      <c r="U230" s="598"/>
      <c r="V230" s="624"/>
      <c r="W230" s="600"/>
      <c r="X230" s="600"/>
      <c r="Y230" s="600"/>
      <c r="Z230" s="600"/>
      <c r="AA230" s="600"/>
      <c r="AB230" s="601"/>
      <c r="AC230" s="624"/>
      <c r="AD230" s="624"/>
      <c r="AE230" s="624"/>
      <c r="AF230" s="624"/>
      <c r="AG230" s="624"/>
      <c r="AH230" s="624"/>
      <c r="AI230" s="625"/>
      <c r="AJ230" s="626"/>
      <c r="AK230" s="602"/>
      <c r="AL230" s="627"/>
      <c r="AM230" s="600"/>
      <c r="AN230" s="600"/>
      <c r="AO230" s="600"/>
      <c r="AP230" s="600"/>
      <c r="AQ230" s="600"/>
      <c r="AR230" s="600"/>
      <c r="AS230" s="628"/>
      <c r="AT230" s="605"/>
      <c r="AU230" s="600"/>
      <c r="AV230" s="600"/>
      <c r="AW230" s="600"/>
      <c r="AX230" s="600"/>
      <c r="AY230" s="600"/>
      <c r="AZ230" s="600"/>
      <c r="BA230" s="600"/>
      <c r="BB230" s="600"/>
      <c r="BC230" s="600"/>
      <c r="BD230" s="600"/>
      <c r="BE230" s="600"/>
      <c r="BF230" s="600"/>
      <c r="BG230" s="600"/>
      <c r="BH230" s="600"/>
      <c r="BI230" s="600"/>
      <c r="BJ230" s="600"/>
      <c r="BK230" s="600"/>
      <c r="BL230" s="600"/>
      <c r="BM230" s="600"/>
      <c r="BN230" s="600"/>
      <c r="BO230" s="600"/>
      <c r="BP230" s="600"/>
      <c r="BQ230" s="600"/>
      <c r="BR230" s="600"/>
      <c r="BT230" s="606"/>
      <c r="BU230" s="607"/>
      <c r="BV230" s="607"/>
      <c r="BW230" s="607"/>
      <c r="BX230" s="607"/>
      <c r="BY230" s="607"/>
      <c r="BZ230" s="607"/>
      <c r="CA230" s="607"/>
      <c r="CB230" s="607"/>
      <c r="CC230" s="607"/>
      <c r="CD230" s="607"/>
      <c r="CE230" s="607"/>
      <c r="CF230" s="607"/>
      <c r="CG230" s="607"/>
      <c r="CH230" s="607"/>
      <c r="CI230" s="609"/>
      <c r="CK230" s="610"/>
      <c r="CL230" s="611"/>
      <c r="CM230" s="612"/>
      <c r="CN230" s="613"/>
      <c r="CP230" s="472"/>
    </row>
    <row r="231" spans="2:94" x14ac:dyDescent="0.25">
      <c r="B231" s="617"/>
      <c r="C231" s="593"/>
      <c r="D231" s="594"/>
      <c r="E231" s="594"/>
      <c r="F231" s="407"/>
      <c r="G231" s="408"/>
      <c r="H231" s="408"/>
      <c r="I231" s="408"/>
      <c r="J231" s="408"/>
      <c r="K231" s="408"/>
      <c r="L231" s="408"/>
      <c r="M231" s="408"/>
      <c r="N231" s="595"/>
      <c r="O231" s="596"/>
      <c r="P231" s="596"/>
      <c r="Q231" s="597"/>
      <c r="R231" s="596"/>
      <c r="S231" s="596"/>
      <c r="T231" s="596"/>
      <c r="U231" s="598"/>
      <c r="V231" s="624"/>
      <c r="W231" s="600"/>
      <c r="X231" s="600"/>
      <c r="Y231" s="600"/>
      <c r="Z231" s="600"/>
      <c r="AA231" s="600"/>
      <c r="AB231" s="601"/>
      <c r="AC231" s="624"/>
      <c r="AD231" s="624"/>
      <c r="AE231" s="624"/>
      <c r="AF231" s="624"/>
      <c r="AG231" s="624"/>
      <c r="AH231" s="624"/>
      <c r="AI231" s="625"/>
      <c r="AJ231" s="626"/>
      <c r="AK231" s="602"/>
      <c r="AL231" s="627"/>
      <c r="AM231" s="600"/>
      <c r="AN231" s="600"/>
      <c r="AO231" s="600"/>
      <c r="AP231" s="600"/>
      <c r="AQ231" s="600"/>
      <c r="AR231" s="600"/>
      <c r="AS231" s="628"/>
      <c r="AT231" s="605"/>
      <c r="AU231" s="600"/>
      <c r="AV231" s="600"/>
      <c r="AW231" s="600"/>
      <c r="AX231" s="600"/>
      <c r="AY231" s="600"/>
      <c r="AZ231" s="600"/>
      <c r="BA231" s="600"/>
      <c r="BB231" s="600"/>
      <c r="BC231" s="600"/>
      <c r="BD231" s="600"/>
      <c r="BE231" s="600"/>
      <c r="BF231" s="600"/>
      <c r="BG231" s="600"/>
      <c r="BH231" s="600"/>
      <c r="BI231" s="600"/>
      <c r="BJ231" s="600"/>
      <c r="BK231" s="600"/>
      <c r="BL231" s="600"/>
      <c r="BM231" s="600"/>
      <c r="BN231" s="600"/>
      <c r="BO231" s="600"/>
      <c r="BP231" s="600"/>
      <c r="BQ231" s="600"/>
      <c r="BR231" s="600"/>
      <c r="BT231" s="606"/>
      <c r="BU231" s="607"/>
      <c r="BV231" s="607"/>
      <c r="BW231" s="607"/>
      <c r="BX231" s="607"/>
      <c r="BY231" s="607"/>
      <c r="BZ231" s="607"/>
      <c r="CA231" s="607"/>
      <c r="CB231" s="607"/>
      <c r="CC231" s="607"/>
      <c r="CD231" s="607"/>
      <c r="CE231" s="607"/>
      <c r="CF231" s="607"/>
      <c r="CG231" s="607"/>
      <c r="CH231" s="607"/>
      <c r="CI231" s="609"/>
      <c r="CK231" s="610"/>
      <c r="CL231" s="611"/>
      <c r="CM231" s="612"/>
      <c r="CN231" s="613"/>
      <c r="CP231" s="472"/>
    </row>
    <row r="232" spans="2:94" x14ac:dyDescent="0.25">
      <c r="B232" s="617"/>
      <c r="C232" s="593"/>
      <c r="D232" s="594"/>
      <c r="E232" s="594"/>
      <c r="F232" s="407"/>
      <c r="G232" s="408"/>
      <c r="H232" s="408"/>
      <c r="I232" s="408"/>
      <c r="J232" s="408"/>
      <c r="K232" s="408"/>
      <c r="L232" s="408"/>
      <c r="M232" s="408"/>
      <c r="N232" s="595"/>
      <c r="O232" s="596"/>
      <c r="P232" s="596"/>
      <c r="Q232" s="597"/>
      <c r="R232" s="596"/>
      <c r="S232" s="596"/>
      <c r="T232" s="596"/>
      <c r="U232" s="598"/>
      <c r="V232" s="624"/>
      <c r="W232" s="600"/>
      <c r="X232" s="600"/>
      <c r="Y232" s="600"/>
      <c r="Z232" s="600"/>
      <c r="AA232" s="600"/>
      <c r="AB232" s="601"/>
      <c r="AC232" s="624"/>
      <c r="AD232" s="624"/>
      <c r="AE232" s="624"/>
      <c r="AF232" s="624"/>
      <c r="AG232" s="624"/>
      <c r="AH232" s="624"/>
      <c r="AI232" s="625"/>
      <c r="AJ232" s="626"/>
      <c r="AK232" s="602"/>
      <c r="AL232" s="627"/>
      <c r="AM232" s="600"/>
      <c r="AN232" s="600"/>
      <c r="AO232" s="600"/>
      <c r="AP232" s="600"/>
      <c r="AQ232" s="600"/>
      <c r="AR232" s="600"/>
      <c r="AS232" s="628"/>
      <c r="AT232" s="605"/>
      <c r="AU232" s="600"/>
      <c r="AV232" s="600"/>
      <c r="AW232" s="600"/>
      <c r="AX232" s="600"/>
      <c r="AY232" s="600"/>
      <c r="AZ232" s="600"/>
      <c r="BA232" s="600"/>
      <c r="BB232" s="600"/>
      <c r="BC232" s="600"/>
      <c r="BD232" s="600"/>
      <c r="BE232" s="600"/>
      <c r="BF232" s="600"/>
      <c r="BG232" s="600"/>
      <c r="BH232" s="600"/>
      <c r="BI232" s="600"/>
      <c r="BJ232" s="600"/>
      <c r="BK232" s="600"/>
      <c r="BL232" s="600"/>
      <c r="BM232" s="600"/>
      <c r="BN232" s="600"/>
      <c r="BO232" s="600"/>
      <c r="BP232" s="600"/>
      <c r="BQ232" s="600"/>
      <c r="BR232" s="600"/>
      <c r="BT232" s="606"/>
      <c r="BU232" s="607"/>
      <c r="BV232" s="607"/>
      <c r="BW232" s="607"/>
      <c r="BX232" s="607"/>
      <c r="BY232" s="607"/>
      <c r="BZ232" s="607"/>
      <c r="CA232" s="607"/>
      <c r="CB232" s="607"/>
      <c r="CC232" s="607"/>
      <c r="CD232" s="607"/>
      <c r="CE232" s="607"/>
      <c r="CF232" s="607"/>
      <c r="CG232" s="607"/>
      <c r="CH232" s="607"/>
      <c r="CI232" s="609"/>
      <c r="CK232" s="610"/>
      <c r="CL232" s="611"/>
      <c r="CM232" s="612"/>
      <c r="CN232" s="613"/>
      <c r="CP232" s="472"/>
    </row>
    <row r="233" spans="2:94" x14ac:dyDescent="0.25">
      <c r="B233" s="617"/>
      <c r="C233" s="593"/>
      <c r="D233" s="594"/>
      <c r="E233" s="594"/>
      <c r="F233" s="407"/>
      <c r="G233" s="408"/>
      <c r="H233" s="408"/>
      <c r="I233" s="408"/>
      <c r="J233" s="408"/>
      <c r="K233" s="408"/>
      <c r="L233" s="408"/>
      <c r="M233" s="408"/>
      <c r="N233" s="595"/>
      <c r="O233" s="596"/>
      <c r="P233" s="596"/>
      <c r="Q233" s="597"/>
      <c r="R233" s="596"/>
      <c r="S233" s="596"/>
      <c r="T233" s="596"/>
      <c r="U233" s="598"/>
      <c r="V233" s="624"/>
      <c r="W233" s="600"/>
      <c r="X233" s="600"/>
      <c r="Y233" s="600"/>
      <c r="Z233" s="600"/>
      <c r="AA233" s="600"/>
      <c r="AB233" s="601"/>
      <c r="AC233" s="624"/>
      <c r="AD233" s="624"/>
      <c r="AE233" s="624"/>
      <c r="AF233" s="624"/>
      <c r="AG233" s="624"/>
      <c r="AH233" s="624"/>
      <c r="AI233" s="625"/>
      <c r="AJ233" s="626"/>
      <c r="AK233" s="602"/>
      <c r="AL233" s="627"/>
      <c r="AM233" s="600"/>
      <c r="AN233" s="600"/>
      <c r="AO233" s="600"/>
      <c r="AP233" s="600"/>
      <c r="AQ233" s="600"/>
      <c r="AR233" s="600"/>
      <c r="AS233" s="628"/>
      <c r="AT233" s="605"/>
      <c r="AU233" s="600"/>
      <c r="AV233" s="600"/>
      <c r="AW233" s="600"/>
      <c r="AX233" s="600"/>
      <c r="AY233" s="600"/>
      <c r="AZ233" s="600"/>
      <c r="BA233" s="600"/>
      <c r="BB233" s="600"/>
      <c r="BC233" s="600"/>
      <c r="BD233" s="600"/>
      <c r="BE233" s="600"/>
      <c r="BF233" s="600"/>
      <c r="BG233" s="600"/>
      <c r="BH233" s="600"/>
      <c r="BI233" s="600"/>
      <c r="BJ233" s="600"/>
      <c r="BK233" s="600"/>
      <c r="BL233" s="600"/>
      <c r="BM233" s="600"/>
      <c r="BN233" s="600"/>
      <c r="BO233" s="600"/>
      <c r="BP233" s="600"/>
      <c r="BQ233" s="600"/>
      <c r="BR233" s="600"/>
      <c r="BT233" s="606"/>
      <c r="BU233" s="607"/>
      <c r="BV233" s="607"/>
      <c r="BW233" s="607"/>
      <c r="BX233" s="607"/>
      <c r="BY233" s="607"/>
      <c r="BZ233" s="607"/>
      <c r="CA233" s="607"/>
      <c r="CB233" s="607"/>
      <c r="CC233" s="607"/>
      <c r="CD233" s="607"/>
      <c r="CE233" s="607"/>
      <c r="CF233" s="607"/>
      <c r="CG233" s="607"/>
      <c r="CH233" s="607"/>
      <c r="CI233" s="609"/>
      <c r="CK233" s="610"/>
      <c r="CL233" s="611"/>
      <c r="CM233" s="612"/>
      <c r="CN233" s="613"/>
      <c r="CP233" s="472"/>
    </row>
    <row r="234" spans="2:94" x14ac:dyDescent="0.25">
      <c r="B234" s="617"/>
      <c r="C234" s="593"/>
      <c r="D234" s="594"/>
      <c r="E234" s="594"/>
      <c r="F234" s="407"/>
      <c r="G234" s="408"/>
      <c r="H234" s="408"/>
      <c r="I234" s="408"/>
      <c r="J234" s="408"/>
      <c r="K234" s="408"/>
      <c r="L234" s="408"/>
      <c r="M234" s="408"/>
      <c r="N234" s="595"/>
      <c r="O234" s="596"/>
      <c r="P234" s="596"/>
      <c r="Q234" s="597"/>
      <c r="R234" s="596"/>
      <c r="S234" s="596"/>
      <c r="T234" s="596"/>
      <c r="U234" s="598"/>
      <c r="V234" s="624"/>
      <c r="W234" s="600"/>
      <c r="X234" s="600"/>
      <c r="Y234" s="600"/>
      <c r="Z234" s="600"/>
      <c r="AA234" s="600"/>
      <c r="AB234" s="601"/>
      <c r="AC234" s="624"/>
      <c r="AD234" s="624"/>
      <c r="AE234" s="624"/>
      <c r="AF234" s="624"/>
      <c r="AG234" s="624"/>
      <c r="AH234" s="624"/>
      <c r="AI234" s="625"/>
      <c r="AJ234" s="626"/>
      <c r="AK234" s="602"/>
      <c r="AL234" s="627"/>
      <c r="AM234" s="600"/>
      <c r="AN234" s="600"/>
      <c r="AO234" s="600"/>
      <c r="AP234" s="600"/>
      <c r="AQ234" s="600"/>
      <c r="AR234" s="600"/>
      <c r="AS234" s="628"/>
      <c r="AT234" s="605"/>
      <c r="AU234" s="600"/>
      <c r="AV234" s="600"/>
      <c r="AW234" s="600"/>
      <c r="AX234" s="600"/>
      <c r="AY234" s="600"/>
      <c r="AZ234" s="600"/>
      <c r="BA234" s="600"/>
      <c r="BB234" s="600"/>
      <c r="BC234" s="600"/>
      <c r="BD234" s="600"/>
      <c r="BE234" s="600"/>
      <c r="BF234" s="600"/>
      <c r="BG234" s="600"/>
      <c r="BH234" s="600"/>
      <c r="BI234" s="600"/>
      <c r="BJ234" s="600"/>
      <c r="BK234" s="600"/>
      <c r="BL234" s="600"/>
      <c r="BM234" s="600"/>
      <c r="BN234" s="600"/>
      <c r="BO234" s="600"/>
      <c r="BP234" s="600"/>
      <c r="BQ234" s="600"/>
      <c r="BR234" s="600"/>
      <c r="BT234" s="606"/>
      <c r="BU234" s="607"/>
      <c r="BV234" s="607"/>
      <c r="BW234" s="607"/>
      <c r="BX234" s="607"/>
      <c r="BY234" s="607"/>
      <c r="BZ234" s="607"/>
      <c r="CA234" s="607"/>
      <c r="CB234" s="607"/>
      <c r="CC234" s="607"/>
      <c r="CD234" s="607"/>
      <c r="CE234" s="607"/>
      <c r="CF234" s="607"/>
      <c r="CG234" s="607"/>
      <c r="CH234" s="607"/>
      <c r="CI234" s="609"/>
      <c r="CK234" s="610"/>
      <c r="CL234" s="611"/>
      <c r="CM234" s="612"/>
      <c r="CN234" s="613"/>
      <c r="CP234" s="472"/>
    </row>
    <row r="235" spans="2:94" x14ac:dyDescent="0.25">
      <c r="B235" s="617"/>
      <c r="C235" s="593"/>
      <c r="D235" s="594"/>
      <c r="E235" s="594"/>
      <c r="F235" s="407"/>
      <c r="G235" s="408"/>
      <c r="H235" s="408"/>
      <c r="I235" s="408"/>
      <c r="J235" s="408"/>
      <c r="K235" s="408"/>
      <c r="L235" s="408"/>
      <c r="M235" s="408"/>
      <c r="N235" s="595"/>
      <c r="O235" s="596"/>
      <c r="P235" s="596"/>
      <c r="Q235" s="597"/>
      <c r="R235" s="596"/>
      <c r="S235" s="596"/>
      <c r="T235" s="596"/>
      <c r="U235" s="598"/>
      <c r="V235" s="624"/>
      <c r="W235" s="600"/>
      <c r="X235" s="600"/>
      <c r="Y235" s="600"/>
      <c r="Z235" s="600"/>
      <c r="AA235" s="600"/>
      <c r="AB235" s="601"/>
      <c r="AC235" s="624"/>
      <c r="AD235" s="624"/>
      <c r="AE235" s="624"/>
      <c r="AF235" s="624"/>
      <c r="AG235" s="624"/>
      <c r="AH235" s="624"/>
      <c r="AI235" s="625"/>
      <c r="AJ235" s="626"/>
      <c r="AK235" s="602"/>
      <c r="AL235" s="627"/>
      <c r="AM235" s="600"/>
      <c r="AN235" s="600"/>
      <c r="AO235" s="600"/>
      <c r="AP235" s="600"/>
      <c r="AQ235" s="600"/>
      <c r="AR235" s="600"/>
      <c r="AS235" s="628"/>
      <c r="AT235" s="605"/>
      <c r="AU235" s="600"/>
      <c r="AV235" s="600"/>
      <c r="AW235" s="600"/>
      <c r="AX235" s="600"/>
      <c r="AY235" s="600"/>
      <c r="AZ235" s="600"/>
      <c r="BA235" s="600"/>
      <c r="BB235" s="600"/>
      <c r="BC235" s="600"/>
      <c r="BD235" s="600"/>
      <c r="BE235" s="600"/>
      <c r="BF235" s="600"/>
      <c r="BG235" s="600"/>
      <c r="BH235" s="600"/>
      <c r="BI235" s="600"/>
      <c r="BJ235" s="600"/>
      <c r="BK235" s="600"/>
      <c r="BL235" s="600"/>
      <c r="BM235" s="600"/>
      <c r="BN235" s="600"/>
      <c r="BO235" s="600"/>
      <c r="BP235" s="600"/>
      <c r="BQ235" s="600"/>
      <c r="BR235" s="600"/>
      <c r="BT235" s="606"/>
      <c r="BU235" s="607"/>
      <c r="BV235" s="607"/>
      <c r="BW235" s="607"/>
      <c r="BX235" s="607"/>
      <c r="BY235" s="607"/>
      <c r="BZ235" s="607"/>
      <c r="CA235" s="607"/>
      <c r="CB235" s="607"/>
      <c r="CC235" s="607"/>
      <c r="CD235" s="607"/>
      <c r="CE235" s="607"/>
      <c r="CF235" s="607"/>
      <c r="CG235" s="607"/>
      <c r="CH235" s="607"/>
      <c r="CI235" s="609"/>
      <c r="CK235" s="610"/>
      <c r="CL235" s="611"/>
      <c r="CM235" s="612"/>
      <c r="CN235" s="613"/>
      <c r="CP235" s="472"/>
    </row>
    <row r="236" spans="2:94" x14ac:dyDescent="0.25">
      <c r="B236" s="617"/>
      <c r="C236" s="593"/>
      <c r="D236" s="594"/>
      <c r="E236" s="594"/>
      <c r="F236" s="407"/>
      <c r="G236" s="408"/>
      <c r="H236" s="408"/>
      <c r="I236" s="408"/>
      <c r="J236" s="408"/>
      <c r="K236" s="408"/>
      <c r="L236" s="408"/>
      <c r="M236" s="408"/>
      <c r="N236" s="595"/>
      <c r="O236" s="596"/>
      <c r="P236" s="596"/>
      <c r="Q236" s="597"/>
      <c r="R236" s="596"/>
      <c r="S236" s="596"/>
      <c r="T236" s="596"/>
      <c r="U236" s="598"/>
      <c r="V236" s="624"/>
      <c r="W236" s="600"/>
      <c r="X236" s="600"/>
      <c r="Y236" s="600"/>
      <c r="Z236" s="600"/>
      <c r="AA236" s="600"/>
      <c r="AB236" s="601"/>
      <c r="AC236" s="624"/>
      <c r="AD236" s="624"/>
      <c r="AE236" s="624"/>
      <c r="AF236" s="624"/>
      <c r="AG236" s="624"/>
      <c r="AH236" s="624"/>
      <c r="AI236" s="625"/>
      <c r="AJ236" s="626"/>
      <c r="AK236" s="602"/>
      <c r="AL236" s="627"/>
      <c r="AM236" s="600"/>
      <c r="AN236" s="600"/>
      <c r="AO236" s="600"/>
      <c r="AP236" s="600"/>
      <c r="AQ236" s="600"/>
      <c r="AR236" s="600"/>
      <c r="AS236" s="628"/>
      <c r="AT236" s="605"/>
      <c r="AU236" s="600"/>
      <c r="AV236" s="600"/>
      <c r="AW236" s="600"/>
      <c r="AX236" s="600"/>
      <c r="AY236" s="600"/>
      <c r="AZ236" s="600"/>
      <c r="BA236" s="600"/>
      <c r="BB236" s="600"/>
      <c r="BC236" s="600"/>
      <c r="BD236" s="600"/>
      <c r="BE236" s="600"/>
      <c r="BF236" s="600"/>
      <c r="BG236" s="600"/>
      <c r="BH236" s="600"/>
      <c r="BI236" s="600"/>
      <c r="BJ236" s="600"/>
      <c r="BK236" s="600"/>
      <c r="BL236" s="600"/>
      <c r="BM236" s="600"/>
      <c r="BN236" s="600"/>
      <c r="BO236" s="600"/>
      <c r="BP236" s="600"/>
      <c r="BQ236" s="600"/>
      <c r="BR236" s="600"/>
      <c r="BT236" s="606"/>
      <c r="BU236" s="607"/>
      <c r="BV236" s="607"/>
      <c r="BW236" s="607"/>
      <c r="BX236" s="607"/>
      <c r="BY236" s="607"/>
      <c r="BZ236" s="607"/>
      <c r="CA236" s="607"/>
      <c r="CB236" s="607"/>
      <c r="CC236" s="607"/>
      <c r="CD236" s="607"/>
      <c r="CE236" s="607"/>
      <c r="CF236" s="607"/>
      <c r="CG236" s="607"/>
      <c r="CH236" s="607"/>
      <c r="CI236" s="609"/>
      <c r="CK236" s="610"/>
      <c r="CL236" s="611"/>
      <c r="CM236" s="612"/>
      <c r="CN236" s="613"/>
      <c r="CP236" s="472"/>
    </row>
    <row r="237" spans="2:94" x14ac:dyDescent="0.25">
      <c r="B237" s="617"/>
      <c r="C237" s="593"/>
      <c r="D237" s="594"/>
      <c r="E237" s="594"/>
      <c r="F237" s="407"/>
      <c r="G237" s="408"/>
      <c r="H237" s="408"/>
      <c r="I237" s="408"/>
      <c r="J237" s="408"/>
      <c r="K237" s="408"/>
      <c r="L237" s="408"/>
      <c r="M237" s="408"/>
      <c r="N237" s="595"/>
      <c r="O237" s="596"/>
      <c r="P237" s="596"/>
      <c r="Q237" s="597"/>
      <c r="R237" s="596"/>
      <c r="S237" s="596"/>
      <c r="T237" s="596"/>
      <c r="U237" s="598"/>
      <c r="V237" s="624"/>
      <c r="W237" s="600"/>
      <c r="X237" s="600"/>
      <c r="Y237" s="600"/>
      <c r="Z237" s="600"/>
      <c r="AA237" s="600"/>
      <c r="AB237" s="601"/>
      <c r="AC237" s="624"/>
      <c r="AD237" s="624"/>
      <c r="AE237" s="624"/>
      <c r="AF237" s="624"/>
      <c r="AG237" s="624"/>
      <c r="AH237" s="624"/>
      <c r="AI237" s="625"/>
      <c r="AJ237" s="626"/>
      <c r="AK237" s="602"/>
      <c r="AL237" s="627"/>
      <c r="AM237" s="600"/>
      <c r="AN237" s="600"/>
      <c r="AO237" s="600"/>
      <c r="AP237" s="600"/>
      <c r="AQ237" s="600"/>
      <c r="AR237" s="600"/>
      <c r="AS237" s="628"/>
      <c r="AT237" s="605"/>
      <c r="AU237" s="600"/>
      <c r="AV237" s="600"/>
      <c r="AW237" s="600"/>
      <c r="AX237" s="600"/>
      <c r="AY237" s="600"/>
      <c r="AZ237" s="600"/>
      <c r="BA237" s="600"/>
      <c r="BB237" s="600"/>
      <c r="BC237" s="600"/>
      <c r="BD237" s="600"/>
      <c r="BE237" s="600"/>
      <c r="BF237" s="600"/>
      <c r="BG237" s="600"/>
      <c r="BH237" s="600"/>
      <c r="BI237" s="600"/>
      <c r="BJ237" s="600"/>
      <c r="BK237" s="600"/>
      <c r="BL237" s="600"/>
      <c r="BM237" s="600"/>
      <c r="BN237" s="600"/>
      <c r="BO237" s="600"/>
      <c r="BP237" s="600"/>
      <c r="BQ237" s="600"/>
      <c r="BR237" s="600"/>
      <c r="BT237" s="606"/>
      <c r="BU237" s="607"/>
      <c r="BV237" s="607"/>
      <c r="BW237" s="607"/>
      <c r="BX237" s="607"/>
      <c r="BY237" s="607"/>
      <c r="BZ237" s="607"/>
      <c r="CA237" s="607"/>
      <c r="CB237" s="607"/>
      <c r="CC237" s="607"/>
      <c r="CD237" s="607"/>
      <c r="CE237" s="607"/>
      <c r="CF237" s="607"/>
      <c r="CG237" s="607"/>
      <c r="CH237" s="607"/>
      <c r="CI237" s="609"/>
      <c r="CK237" s="610"/>
      <c r="CL237" s="611"/>
      <c r="CM237" s="612"/>
      <c r="CN237" s="613"/>
      <c r="CP237" s="472"/>
    </row>
    <row r="238" spans="2:94" ht="15.75" thickBot="1" x14ac:dyDescent="0.3">
      <c r="B238" s="617"/>
      <c r="C238" s="593"/>
      <c r="D238" s="594"/>
      <c r="E238" s="594"/>
      <c r="F238" s="407"/>
      <c r="G238" s="408"/>
      <c r="H238" s="408"/>
      <c r="I238" s="408"/>
      <c r="J238" s="408"/>
      <c r="K238" s="408"/>
      <c r="L238" s="408"/>
      <c r="M238" s="408"/>
      <c r="N238" s="595"/>
      <c r="O238" s="596"/>
      <c r="P238" s="596"/>
      <c r="Q238" s="597"/>
      <c r="R238" s="596"/>
      <c r="S238" s="596"/>
      <c r="T238" s="596"/>
      <c r="U238" s="598"/>
      <c r="V238" s="624"/>
      <c r="W238" s="600"/>
      <c r="X238" s="600"/>
      <c r="Y238" s="600"/>
      <c r="Z238" s="600"/>
      <c r="AA238" s="600"/>
      <c r="AB238" s="601"/>
      <c r="AC238" s="624"/>
      <c r="AD238" s="624"/>
      <c r="AE238" s="624"/>
      <c r="AF238" s="624"/>
      <c r="AG238" s="624"/>
      <c r="AH238" s="624"/>
      <c r="AI238" s="625"/>
      <c r="AJ238" s="626"/>
      <c r="AK238" s="602"/>
      <c r="AL238" s="627"/>
      <c r="AM238" s="600"/>
      <c r="AN238" s="600"/>
      <c r="AO238" s="600"/>
      <c r="AP238" s="600"/>
      <c r="AQ238" s="600"/>
      <c r="AR238" s="600"/>
      <c r="AS238" s="628"/>
      <c r="AT238" s="605"/>
      <c r="AU238" s="600"/>
      <c r="AV238" s="600"/>
      <c r="AW238" s="600"/>
      <c r="AX238" s="600"/>
      <c r="AY238" s="600"/>
      <c r="AZ238" s="600"/>
      <c r="BA238" s="600"/>
      <c r="BB238" s="600"/>
      <c r="BC238" s="600"/>
      <c r="BD238" s="600"/>
      <c r="BE238" s="600"/>
      <c r="BF238" s="600"/>
      <c r="BG238" s="600"/>
      <c r="BH238" s="600"/>
      <c r="BI238" s="600"/>
      <c r="BJ238" s="600"/>
      <c r="BK238" s="600"/>
      <c r="BL238" s="600"/>
      <c r="BM238" s="600"/>
      <c r="BN238" s="600"/>
      <c r="BO238" s="600"/>
      <c r="BP238" s="600"/>
      <c r="BQ238" s="600"/>
      <c r="BR238" s="600"/>
      <c r="BT238" s="629"/>
      <c r="BU238" s="630"/>
      <c r="BV238" s="630"/>
      <c r="BW238" s="630"/>
      <c r="BX238" s="630"/>
      <c r="BY238" s="630"/>
      <c r="BZ238" s="630"/>
      <c r="CA238" s="630"/>
      <c r="CB238" s="630"/>
      <c r="CC238" s="630"/>
      <c r="CD238" s="630"/>
      <c r="CE238" s="630"/>
      <c r="CF238" s="630"/>
      <c r="CG238" s="630"/>
      <c r="CH238" s="630"/>
      <c r="CI238" s="631"/>
      <c r="CK238" s="610"/>
      <c r="CL238" s="611"/>
      <c r="CM238" s="612"/>
      <c r="CN238" s="613"/>
      <c r="CP238" s="472"/>
    </row>
    <row r="239" spans="2:94" x14ac:dyDescent="0.25">
      <c r="C239" s="72"/>
      <c r="D239" s="72"/>
      <c r="E239" s="72"/>
      <c r="R239" s="632"/>
      <c r="S239" s="632"/>
      <c r="T239" s="632"/>
      <c r="U239" s="633"/>
      <c r="V239" s="632"/>
      <c r="AC239" s="632"/>
      <c r="AD239" s="632"/>
      <c r="AE239" s="632"/>
      <c r="AF239" s="632"/>
      <c r="AG239" s="632"/>
      <c r="AH239" s="632"/>
      <c r="CP239" s="472"/>
    </row>
    <row r="240" spans="2:94" x14ac:dyDescent="0.25">
      <c r="C240" s="72"/>
      <c r="D240" s="72"/>
      <c r="E240" s="72"/>
      <c r="R240" s="632"/>
      <c r="S240" s="632"/>
      <c r="T240" s="632"/>
      <c r="U240" s="633"/>
      <c r="V240" s="632"/>
      <c r="AC240" s="632"/>
      <c r="AD240" s="632"/>
      <c r="AE240" s="632"/>
      <c r="AF240" s="632"/>
      <c r="AG240" s="632"/>
      <c r="AH240" s="632"/>
      <c r="CP240" s="472"/>
    </row>
    <row r="241" spans="3:94" x14ac:dyDescent="0.25">
      <c r="C241" s="72"/>
      <c r="D241" s="72"/>
      <c r="E241" s="72"/>
      <c r="R241" s="632"/>
      <c r="S241" s="632"/>
      <c r="T241" s="632"/>
      <c r="U241" s="633"/>
      <c r="V241" s="632"/>
      <c r="AC241" s="632"/>
      <c r="AD241" s="632"/>
      <c r="AE241" s="632"/>
      <c r="AF241" s="632"/>
      <c r="AG241" s="632"/>
      <c r="AH241" s="632"/>
      <c r="CP241" s="472"/>
    </row>
    <row r="242" spans="3:94" x14ac:dyDescent="0.25">
      <c r="C242" s="72"/>
      <c r="D242" s="72"/>
      <c r="E242" s="72"/>
      <c r="R242" s="632"/>
      <c r="S242" s="632"/>
      <c r="T242" s="632"/>
      <c r="U242" s="633"/>
      <c r="V242" s="632"/>
      <c r="AC242" s="632"/>
      <c r="AD242" s="632"/>
      <c r="AE242" s="632"/>
      <c r="AF242" s="632"/>
      <c r="AG242" s="632"/>
      <c r="AH242" s="632"/>
      <c r="CP242" s="472"/>
    </row>
  </sheetData>
  <autoFilter ref="A15:DA1048576" xr:uid="{2E1B608C-323E-472E-B3CE-F577EDBF7D71}"/>
  <mergeCells count="10">
    <mergeCell ref="CV11:CV13"/>
    <mergeCell ref="CY12:CY13"/>
    <mergeCell ref="AI14:AL14"/>
    <mergeCell ref="BT14:BU14"/>
    <mergeCell ref="G5:H5"/>
    <mergeCell ref="CV5:CV8"/>
    <mergeCell ref="G6:H6"/>
    <mergeCell ref="G7:H7"/>
    <mergeCell ref="G8:H8"/>
    <mergeCell ref="G9:H9"/>
  </mergeCells>
  <conditionalFormatting sqref="C18 C28 C38 C48 C58 C68 C78 C88 C98 C108 C118 C128 C138 C148 C158 C168 C178 C182:C183 C187:C188 C192:C193 C197:C198 C202:C203 C207:C208 C212:C213 C217:C218">
    <cfRule type="expression" dxfId="44" priority="39">
      <formula>C18:C26&lt;&gt;#REF!</formula>
    </cfRule>
  </conditionalFormatting>
  <conditionalFormatting sqref="C25 C35 C45 C55 C65 C75 C85 C95 C105 C115 C125 C135 C145 C175 C155:C165">
    <cfRule type="expression" dxfId="43" priority="40">
      <formula>C25:C41&lt;&gt;#REF!</formula>
    </cfRule>
  </conditionalFormatting>
  <conditionalFormatting sqref="C24 C34 C44 C54 C64 C74 C84 C94 C104 C114 C124 C134 C144 C154 C164 C174">
    <cfRule type="expression" dxfId="42" priority="41">
      <formula>C24:C40&lt;&gt;#REF!</formula>
    </cfRule>
  </conditionalFormatting>
  <conditionalFormatting sqref="C16:C221">
    <cfRule type="expression" dxfId="41" priority="42">
      <formula>C16:C25&lt;&gt;#REF!</formula>
    </cfRule>
  </conditionalFormatting>
  <conditionalFormatting sqref="C19:C23 C29:C33 C39:C43 C49:C53 C59:C63 C69:C73 C79:C83 C89:C93 C99:C103 C109:C113 C119:C123 C129:C133 C139:C143 C149:C153 C159:C163 C169:C173 C179:C221">
    <cfRule type="expression" dxfId="40" priority="43">
      <formula>C19:C36&lt;&gt;#REF!</formula>
    </cfRule>
  </conditionalFormatting>
  <conditionalFormatting sqref="C16:C221 N17:N221 W16:Y238 AB16:AB238 F16:I238 AM16:AM238 AS16:AT238 K16:N16 K17:M238">
    <cfRule type="expression" dxfId="39" priority="38">
      <formula>MOD(ROW(),2)=0</formula>
    </cfRule>
  </conditionalFormatting>
  <conditionalFormatting sqref="B16">
    <cfRule type="expression" dxfId="38" priority="37">
      <formula>B16:B25&lt;&gt;#REF!</formula>
    </cfRule>
  </conditionalFormatting>
  <conditionalFormatting sqref="B16">
    <cfRule type="expression" dxfId="37" priority="36">
      <formula>MOD(ROW(),2)=0</formula>
    </cfRule>
  </conditionalFormatting>
  <conditionalFormatting sqref="B17:B221">
    <cfRule type="expression" dxfId="36" priority="35">
      <formula>B17:B26&lt;&gt;#REF!</formula>
    </cfRule>
  </conditionalFormatting>
  <conditionalFormatting sqref="B17:B221">
    <cfRule type="expression" dxfId="35" priority="34">
      <formula>MOD(ROW(),2)=0</formula>
    </cfRule>
  </conditionalFormatting>
  <conditionalFormatting sqref="Q16:Q238">
    <cfRule type="expression" dxfId="34" priority="33">
      <formula>MOD(ROW(),2)=0</formula>
    </cfRule>
  </conditionalFormatting>
  <conditionalFormatting sqref="O16:O238">
    <cfRule type="expression" dxfId="33" priority="32">
      <formula>MOD(ROW(),2)=0</formula>
    </cfRule>
  </conditionalFormatting>
  <conditionalFormatting sqref="P16:P238">
    <cfRule type="expression" dxfId="32" priority="31">
      <formula>MOD(ROW(),2)=0</formula>
    </cfRule>
  </conditionalFormatting>
  <conditionalFormatting sqref="J17:J238">
    <cfRule type="expression" dxfId="31" priority="30">
      <formula>MOD(ROW(),2)=0</formula>
    </cfRule>
  </conditionalFormatting>
  <conditionalFormatting sqref="C222:C238">
    <cfRule type="expression" dxfId="30" priority="28">
      <formula>C222:C231&lt;&gt;#REF!</formula>
    </cfRule>
  </conditionalFormatting>
  <conditionalFormatting sqref="C222:C238">
    <cfRule type="expression" dxfId="29" priority="29">
      <formula>C222:C239&lt;&gt;#REF!</formula>
    </cfRule>
  </conditionalFormatting>
  <conditionalFormatting sqref="C222:C238 N222:N238">
    <cfRule type="expression" dxfId="28" priority="27">
      <formula>MOD(ROW(),2)=0</formula>
    </cfRule>
  </conditionalFormatting>
  <conditionalFormatting sqref="B222:B238">
    <cfRule type="expression" dxfId="27" priority="26">
      <formula>B222:B231&lt;&gt;#REF!</formula>
    </cfRule>
  </conditionalFormatting>
  <conditionalFormatting sqref="B222:B238">
    <cfRule type="expression" dxfId="26" priority="25">
      <formula>MOD(ROW(),2)=0</formula>
    </cfRule>
  </conditionalFormatting>
  <conditionalFormatting sqref="R16:T238">
    <cfRule type="expression" dxfId="25" priority="24">
      <formula>MOD(ROW(),2)=0</formula>
    </cfRule>
  </conditionalFormatting>
  <conditionalFormatting sqref="U16:U238">
    <cfRule type="expression" dxfId="24" priority="23">
      <formula>MOD(ROW(),2)=0</formula>
    </cfRule>
  </conditionalFormatting>
  <conditionalFormatting sqref="V16:AH238 AL16:AL238">
    <cfRule type="expression" dxfId="23" priority="22">
      <formula>MOD(ROW(),2)=0</formula>
    </cfRule>
  </conditionalFormatting>
  <conditionalFormatting sqref="D16:D238">
    <cfRule type="expression" dxfId="22" priority="21">
      <formula>D16:D25&lt;&gt;#REF!</formula>
    </cfRule>
  </conditionalFormatting>
  <conditionalFormatting sqref="D16:E238">
    <cfRule type="expression" dxfId="21" priority="20">
      <formula>MOD(ROW(),2)=0</formula>
    </cfRule>
  </conditionalFormatting>
  <conditionalFormatting sqref="Z16:AB238">
    <cfRule type="expression" dxfId="20" priority="19">
      <formula>MOD(ROW(),2)=0</formula>
    </cfRule>
  </conditionalFormatting>
  <conditionalFormatting sqref="AN16:AR238">
    <cfRule type="expression" dxfId="19" priority="18">
      <formula>MOD(ROW(),2)=0</formula>
    </cfRule>
  </conditionalFormatting>
  <conditionalFormatting sqref="BX16:CB238 BB16:BQ238">
    <cfRule type="expression" dxfId="18" priority="17">
      <formula>MOD(ROW(),2)=0</formula>
    </cfRule>
  </conditionalFormatting>
  <conditionalFormatting sqref="AV16:AZ238">
    <cfRule type="expression" dxfId="17" priority="16">
      <formula>MOD(ROW(),2)=0</formula>
    </cfRule>
  </conditionalFormatting>
  <conditionalFormatting sqref="CI16:CI238">
    <cfRule type="expression" dxfId="16" priority="15">
      <formula>MOD(ROW(),2)=0</formula>
    </cfRule>
  </conditionalFormatting>
  <conditionalFormatting sqref="AU16:AU238">
    <cfRule type="expression" dxfId="15" priority="14">
      <formula>MOD(ROW(),2)=0</formula>
    </cfRule>
  </conditionalFormatting>
  <conditionalFormatting sqref="BA16:BA238">
    <cfRule type="expression" dxfId="14" priority="13">
      <formula>MOD(ROW(),2)=0</formula>
    </cfRule>
  </conditionalFormatting>
  <conditionalFormatting sqref="BR16:BR238">
    <cfRule type="expression" dxfId="13" priority="12">
      <formula>MOD(ROW(),2)=0</formula>
    </cfRule>
  </conditionalFormatting>
  <conditionalFormatting sqref="CH16:CH238">
    <cfRule type="expression" dxfId="12" priority="11">
      <formula>MOD(ROW(),2)=0</formula>
    </cfRule>
  </conditionalFormatting>
  <conditionalFormatting sqref="CK16:CN238">
    <cfRule type="expression" dxfId="11" priority="10">
      <formula>MOD(ROW(),2)=0</formula>
    </cfRule>
  </conditionalFormatting>
  <conditionalFormatting sqref="J16">
    <cfRule type="expression" dxfId="10" priority="9">
      <formula>MOD(ROW(),2)=0</formula>
    </cfRule>
  </conditionalFormatting>
  <conditionalFormatting sqref="BW16:BW238">
    <cfRule type="expression" dxfId="9" priority="8">
      <formula>MOD(ROW(),2)=0</formula>
    </cfRule>
  </conditionalFormatting>
  <conditionalFormatting sqref="BU17:BV238 BU16">
    <cfRule type="expression" dxfId="8" priority="7">
      <formula>MOD(ROW(),2)=0</formula>
    </cfRule>
  </conditionalFormatting>
  <conditionalFormatting sqref="BT16:BT238">
    <cfRule type="expression" dxfId="7" priority="6">
      <formula>MOD(ROW(),2)=0</formula>
    </cfRule>
  </conditionalFormatting>
  <conditionalFormatting sqref="AI16:AI238">
    <cfRule type="expression" dxfId="6" priority="5">
      <formula>MOD(ROW(),2)=0</formula>
    </cfRule>
  </conditionalFormatting>
  <conditionalFormatting sqref="AJ16:AJ238">
    <cfRule type="expression" dxfId="5" priority="4">
      <formula>MOD(ROW(),2)=0</formula>
    </cfRule>
  </conditionalFormatting>
  <conditionalFormatting sqref="AK16:AK238">
    <cfRule type="expression" dxfId="4" priority="3">
      <formula>MOD(ROW(),2)=0</formula>
    </cfRule>
  </conditionalFormatting>
  <conditionalFormatting sqref="BV16:BV166">
    <cfRule type="expression" dxfId="3" priority="2">
      <formula>MOD(ROW(),2)=0</formula>
    </cfRule>
  </conditionalFormatting>
  <conditionalFormatting sqref="CC16:CG238">
    <cfRule type="expression" dxfId="2" priority="1">
      <formula>MOD(ROW(),2)=0</formula>
    </cfRule>
  </conditionalFormatting>
  <printOptions horizontalCentered="1"/>
  <pageMargins left="0.2" right="0.2" top="0.5" bottom="0.5" header="0.51180555555555496" footer="0.3"/>
  <pageSetup firstPageNumber="0" orientation="landscape" horizontalDpi="300" verticalDpi="300" r:id="rId1"/>
  <headerFooter>
    <oddFooter>&amp;LTexas Health and Human Services Commission&amp;RApril 27, 2015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30D1-3148-4854-8D6D-ABFBEBF42D59}">
  <sheetPr codeName="Sheet23">
    <tabColor theme="4" tint="-0.499984740745262"/>
  </sheetPr>
  <dimension ref="A1:XEN30"/>
  <sheetViews>
    <sheetView showGridLines="0" zoomScale="80" zoomScaleNormal="80" workbookViewId="0"/>
  </sheetViews>
  <sheetFormatPr defaultRowHeight="15" x14ac:dyDescent="0.25"/>
  <cols>
    <col min="2" max="2" width="7.85546875" customWidth="1"/>
    <col min="3" max="3" width="31.42578125" customWidth="1"/>
    <col min="4" max="4" width="65.5703125" customWidth="1"/>
    <col min="5" max="5" width="40.85546875" bestFit="1" customWidth="1"/>
  </cols>
  <sheetData>
    <row r="1" spans="1:16368" s="635" customFormat="1" ht="21" x14ac:dyDescent="0.3">
      <c r="A1" s="634" t="s">
        <v>967</v>
      </c>
      <c r="C1" s="634"/>
      <c r="E1" s="636"/>
      <c r="F1" s="637"/>
      <c r="G1" s="637"/>
      <c r="H1" s="637"/>
      <c r="I1" s="637"/>
      <c r="J1" s="637"/>
      <c r="K1" s="637"/>
      <c r="L1" s="637"/>
      <c r="M1" s="637"/>
      <c r="N1" s="638"/>
      <c r="O1" s="638"/>
      <c r="P1" s="638"/>
      <c r="Q1" s="638"/>
      <c r="R1" s="638"/>
      <c r="S1" s="638"/>
      <c r="T1" s="638"/>
      <c r="U1" s="638"/>
      <c r="V1" s="638"/>
      <c r="W1" s="638"/>
      <c r="X1" s="639"/>
      <c r="Y1" s="639"/>
      <c r="Z1" s="639"/>
      <c r="AA1" s="640"/>
      <c r="AB1" s="640"/>
      <c r="AC1" s="640"/>
      <c r="AD1" s="640"/>
      <c r="AE1" s="640"/>
      <c r="AF1" s="640"/>
      <c r="AG1" s="640"/>
      <c r="AH1" s="638"/>
      <c r="AI1" s="638"/>
      <c r="AJ1" s="638"/>
      <c r="AK1" s="638"/>
      <c r="AL1" s="638"/>
      <c r="AM1" s="638"/>
      <c r="AN1" s="638"/>
      <c r="AO1" s="639"/>
      <c r="AP1" s="640"/>
      <c r="AQ1" s="640"/>
      <c r="AR1" s="640"/>
      <c r="AS1" s="641"/>
      <c r="AT1" s="642"/>
      <c r="AU1" s="642"/>
      <c r="AV1" s="642"/>
      <c r="AW1" s="642"/>
      <c r="AX1" s="642"/>
      <c r="AY1" s="642"/>
      <c r="AZ1" s="643"/>
      <c r="BA1" s="643"/>
      <c r="BB1" s="643"/>
      <c r="BC1" s="643"/>
      <c r="BD1" s="643"/>
      <c r="BE1" s="643"/>
      <c r="BF1" s="643"/>
      <c r="BG1" s="643"/>
      <c r="BH1" s="643"/>
      <c r="BI1" s="643"/>
      <c r="BJ1" s="643"/>
      <c r="BK1" s="643"/>
      <c r="BL1" s="643"/>
      <c r="BM1" s="643"/>
      <c r="BN1" s="643"/>
      <c r="BO1" s="642"/>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T1" s="644"/>
      <c r="CU1" s="644"/>
      <c r="CV1" s="644"/>
    </row>
    <row r="2" spans="1:16368" s="12" customFormat="1" ht="0.95" customHeight="1" x14ac:dyDescent="0.3">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row>
    <row r="3" spans="1:16368" s="12" customFormat="1" x14ac:dyDescent="0.25">
      <c r="A3" s="7" t="s">
        <v>968</v>
      </c>
      <c r="C3" s="7"/>
      <c r="D3" s="223"/>
      <c r="E3" s="223"/>
    </row>
    <row r="4" spans="1:16368" s="12" customFormat="1" x14ac:dyDescent="0.25">
      <c r="A4" s="7" t="s">
        <v>969</v>
      </c>
      <c r="C4" s="7"/>
      <c r="D4" s="223"/>
      <c r="E4" s="223"/>
    </row>
    <row r="5" spans="1:16368" ht="18.75" x14ac:dyDescent="0.3">
      <c r="A5" s="13" t="s">
        <v>175</v>
      </c>
    </row>
    <row r="6" spans="1:16368" x14ac:dyDescent="0.25">
      <c r="C6" s="645" t="s">
        <v>51</v>
      </c>
    </row>
    <row r="7" spans="1:16368" x14ac:dyDescent="0.25">
      <c r="C7" s="646">
        <v>13</v>
      </c>
    </row>
    <row r="9" spans="1:16368" ht="15.75" thickBot="1" x14ac:dyDescent="0.3"/>
    <row r="10" spans="1:16368" ht="15.75" thickBot="1" x14ac:dyDescent="0.3">
      <c r="B10" s="647" t="s">
        <v>259</v>
      </c>
      <c r="C10" s="648" t="s">
        <v>970</v>
      </c>
      <c r="D10" s="649" t="s">
        <v>971</v>
      </c>
      <c r="E10" s="650" t="s">
        <v>422</v>
      </c>
    </row>
    <row r="11" spans="1:16368" x14ac:dyDescent="0.25">
      <c r="B11" s="651">
        <v>1</v>
      </c>
      <c r="C11" s="652" t="s">
        <v>78</v>
      </c>
      <c r="D11" s="653" t="s">
        <v>972</v>
      </c>
      <c r="E11" s="654">
        <v>-16913437.310201291</v>
      </c>
    </row>
    <row r="12" spans="1:16368" x14ac:dyDescent="0.25">
      <c r="B12" s="655">
        <f t="shared" ref="B12:B30" si="0">IF(B11&lt; $C$7, B11+1, "")</f>
        <v>2</v>
      </c>
      <c r="C12" s="652" t="s">
        <v>93</v>
      </c>
      <c r="D12" s="653" t="s">
        <v>94</v>
      </c>
      <c r="E12" s="654">
        <v>-55474999.569012895</v>
      </c>
    </row>
    <row r="13" spans="1:16368" x14ac:dyDescent="0.25">
      <c r="B13" s="655">
        <f t="shared" si="0"/>
        <v>3</v>
      </c>
      <c r="C13" s="652" t="s">
        <v>124</v>
      </c>
      <c r="D13" s="653" t="s">
        <v>125</v>
      </c>
      <c r="E13" s="654">
        <v>-158478531.7764284</v>
      </c>
    </row>
    <row r="14" spans="1:16368" x14ac:dyDescent="0.25">
      <c r="B14" s="655">
        <f t="shared" si="0"/>
        <v>4</v>
      </c>
      <c r="C14" s="652" t="s">
        <v>973</v>
      </c>
      <c r="D14" s="653" t="s">
        <v>974</v>
      </c>
      <c r="E14" s="654">
        <v>-1363546.950263862</v>
      </c>
    </row>
    <row r="15" spans="1:16368" x14ac:dyDescent="0.25">
      <c r="B15" s="655">
        <f t="shared" si="0"/>
        <v>5</v>
      </c>
      <c r="C15" s="652" t="s">
        <v>975</v>
      </c>
      <c r="D15" s="653" t="s">
        <v>976</v>
      </c>
      <c r="E15" s="654">
        <v>-2542632.0546000218</v>
      </c>
    </row>
    <row r="16" spans="1:16368" x14ac:dyDescent="0.25">
      <c r="B16" s="655">
        <f t="shared" si="0"/>
        <v>6</v>
      </c>
      <c r="C16" s="652" t="s">
        <v>977</v>
      </c>
      <c r="D16" s="653" t="s">
        <v>978</v>
      </c>
      <c r="E16" s="654">
        <v>-3260214.4146909476</v>
      </c>
    </row>
    <row r="17" spans="2:5" x14ac:dyDescent="0.25">
      <c r="B17" s="655">
        <f t="shared" si="0"/>
        <v>7</v>
      </c>
      <c r="C17" s="652" t="s">
        <v>979</v>
      </c>
      <c r="D17" s="653" t="s">
        <v>980</v>
      </c>
      <c r="E17" s="654">
        <v>-31369056.273141727</v>
      </c>
    </row>
    <row r="18" spans="2:5" x14ac:dyDescent="0.25">
      <c r="B18" s="655">
        <f t="shared" si="0"/>
        <v>8</v>
      </c>
      <c r="C18" s="652" t="s">
        <v>981</v>
      </c>
      <c r="D18" s="653" t="s">
        <v>982</v>
      </c>
      <c r="E18" s="654">
        <v>-17082544.11687753</v>
      </c>
    </row>
    <row r="19" spans="2:5" x14ac:dyDescent="0.25">
      <c r="B19" s="655">
        <f>IF(B18&lt; $C$7, B18+1, "")</f>
        <v>9</v>
      </c>
      <c r="C19" s="652" t="s">
        <v>983</v>
      </c>
      <c r="D19" s="653" t="s">
        <v>984</v>
      </c>
      <c r="E19" s="654">
        <v>-62317034.539089702</v>
      </c>
    </row>
    <row r="20" spans="2:5" x14ac:dyDescent="0.25">
      <c r="B20" s="655">
        <f t="shared" si="0"/>
        <v>10</v>
      </c>
      <c r="C20" s="652" t="s">
        <v>985</v>
      </c>
      <c r="D20" s="653" t="s">
        <v>986</v>
      </c>
      <c r="E20" s="654">
        <v>-172056817.56564364</v>
      </c>
    </row>
    <row r="21" spans="2:5" x14ac:dyDescent="0.25">
      <c r="B21" s="655">
        <f t="shared" si="0"/>
        <v>11</v>
      </c>
      <c r="C21" s="652" t="s">
        <v>987</v>
      </c>
      <c r="D21" s="653" t="s">
        <v>988</v>
      </c>
      <c r="E21" s="654">
        <v>-218801920.12817934</v>
      </c>
    </row>
    <row r="22" spans="2:5" x14ac:dyDescent="0.25">
      <c r="B22" s="655">
        <f t="shared" si="0"/>
        <v>12</v>
      </c>
      <c r="C22" s="652" t="s">
        <v>989</v>
      </c>
      <c r="D22" s="653" t="s">
        <v>990</v>
      </c>
      <c r="E22" s="654">
        <v>-75076833.711921334</v>
      </c>
    </row>
    <row r="23" spans="2:5" x14ac:dyDescent="0.25">
      <c r="B23" s="655">
        <f t="shared" si="0"/>
        <v>13</v>
      </c>
      <c r="C23" s="652" t="s">
        <v>991</v>
      </c>
      <c r="D23" s="653" t="s">
        <v>992</v>
      </c>
      <c r="E23" s="654">
        <v>-28086160.750445969</v>
      </c>
    </row>
    <row r="24" spans="2:5" x14ac:dyDescent="0.25">
      <c r="B24" s="655" t="str">
        <f t="shared" si="0"/>
        <v/>
      </c>
      <c r="C24" s="652" t="s">
        <v>63</v>
      </c>
      <c r="D24" s="653" t="s">
        <v>63</v>
      </c>
      <c r="E24" s="654" t="s">
        <v>63</v>
      </c>
    </row>
    <row r="25" spans="2:5" x14ac:dyDescent="0.25">
      <c r="B25" s="655" t="str">
        <f t="shared" si="0"/>
        <v/>
      </c>
      <c r="C25" s="652" t="s">
        <v>63</v>
      </c>
      <c r="D25" s="653" t="s">
        <v>63</v>
      </c>
      <c r="E25" s="654" t="s">
        <v>63</v>
      </c>
    </row>
    <row r="26" spans="2:5" x14ac:dyDescent="0.25">
      <c r="B26" s="655" t="str">
        <f t="shared" si="0"/>
        <v/>
      </c>
      <c r="C26" s="652" t="s">
        <v>63</v>
      </c>
      <c r="D26" s="653" t="s">
        <v>63</v>
      </c>
      <c r="E26" s="654" t="s">
        <v>63</v>
      </c>
    </row>
    <row r="27" spans="2:5" x14ac:dyDescent="0.25">
      <c r="B27" s="655" t="str">
        <f t="shared" si="0"/>
        <v/>
      </c>
      <c r="C27" s="652" t="s">
        <v>63</v>
      </c>
      <c r="D27" s="653" t="s">
        <v>63</v>
      </c>
      <c r="E27" s="654" t="s">
        <v>63</v>
      </c>
    </row>
    <row r="28" spans="2:5" x14ac:dyDescent="0.25">
      <c r="B28" s="655" t="str">
        <f>IF(B27&lt; $C$7, B27+1, "")</f>
        <v/>
      </c>
      <c r="C28" s="652" t="s">
        <v>63</v>
      </c>
      <c r="D28" s="653" t="s">
        <v>63</v>
      </c>
      <c r="E28" s="654" t="s">
        <v>63</v>
      </c>
    </row>
    <row r="29" spans="2:5" x14ac:dyDescent="0.25">
      <c r="B29" s="655" t="str">
        <f>IF(B28&lt; $C$7, B28+1, "")</f>
        <v/>
      </c>
      <c r="C29" s="652" t="s">
        <v>63</v>
      </c>
      <c r="D29" s="653" t="s">
        <v>63</v>
      </c>
      <c r="E29" s="654" t="s">
        <v>63</v>
      </c>
    </row>
    <row r="30" spans="2:5" ht="15.75" thickBot="1" x14ac:dyDescent="0.3">
      <c r="B30" s="656" t="str">
        <f t="shared" si="0"/>
        <v/>
      </c>
      <c r="C30" s="657" t="s">
        <v>63</v>
      </c>
      <c r="D30" s="657" t="s">
        <v>63</v>
      </c>
      <c r="E30" s="658" t="s">
        <v>63</v>
      </c>
    </row>
  </sheetData>
  <conditionalFormatting sqref="B19">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9E36-7E32-49E2-9AE1-2105764D79B5}">
  <sheetPr codeName="Sheet21">
    <tabColor theme="9" tint="0.39997558519241921"/>
  </sheetPr>
  <dimension ref="A1:M196"/>
  <sheetViews>
    <sheetView showGridLines="0" zoomScale="80" zoomScaleNormal="80" workbookViewId="0">
      <selection activeCell="D16" sqref="D16"/>
    </sheetView>
  </sheetViews>
  <sheetFormatPr defaultColWidth="8.7109375" defaultRowHeight="15" x14ac:dyDescent="0.25"/>
  <cols>
    <col min="1" max="1" width="1.85546875" style="12" customWidth="1"/>
    <col min="2" max="2" width="16.7109375" style="298" customWidth="1"/>
    <col min="3" max="3" width="14.42578125" style="298" customWidth="1"/>
    <col min="4" max="4" width="35.85546875" style="12" customWidth="1"/>
    <col min="5" max="5" width="16.85546875" style="12" bestFit="1" customWidth="1"/>
    <col min="6" max="13" width="19.5703125" style="12" customWidth="1"/>
    <col min="14" max="16384" width="8.7109375" style="12"/>
  </cols>
  <sheetData>
    <row r="1" spans="1:13" s="3" customFormat="1" ht="21" x14ac:dyDescent="0.35">
      <c r="A1" s="1" t="s">
        <v>993</v>
      </c>
      <c r="G1" s="3" t="str">
        <f>UPPER(A5)</f>
        <v>N</v>
      </c>
    </row>
    <row r="2" spans="1:13" s="6" customFormat="1" ht="1.5" customHeight="1" x14ac:dyDescent="0.3">
      <c r="A2" s="4"/>
    </row>
    <row r="3" spans="1:13" x14ac:dyDescent="0.25">
      <c r="A3" s="7" t="s">
        <v>994</v>
      </c>
      <c r="B3" s="223"/>
      <c r="C3" s="223"/>
    </row>
    <row r="4" spans="1:13" x14ac:dyDescent="0.25">
      <c r="A4" s="7" t="s">
        <v>995</v>
      </c>
      <c r="B4" s="223"/>
      <c r="C4" s="223"/>
    </row>
    <row r="5" spans="1:13" ht="38.25" x14ac:dyDescent="0.3">
      <c r="A5" s="13" t="s">
        <v>175</v>
      </c>
      <c r="B5" s="659" t="str">
        <f>Year&amp;" TPI"</f>
        <v>2023 TPI</v>
      </c>
      <c r="C5" s="659" t="s">
        <v>52</v>
      </c>
      <c r="D5" s="659" t="s">
        <v>33</v>
      </c>
      <c r="E5" s="660" t="s">
        <v>996</v>
      </c>
      <c r="F5" s="660" t="s">
        <v>997</v>
      </c>
      <c r="G5" s="660" t="s">
        <v>998</v>
      </c>
      <c r="H5" s="660" t="s">
        <v>999</v>
      </c>
      <c r="I5" s="660" t="s">
        <v>1000</v>
      </c>
      <c r="J5" s="660" t="s">
        <v>455</v>
      </c>
      <c r="K5" s="660" t="s">
        <v>1001</v>
      </c>
      <c r="L5" s="660" t="s">
        <v>1002</v>
      </c>
      <c r="M5" s="660" t="s">
        <v>19</v>
      </c>
    </row>
    <row r="6" spans="1:13" x14ac:dyDescent="0.25">
      <c r="B6" s="661" t="str">
        <f>'Non-State'!C16</f>
        <v>020811801</v>
      </c>
      <c r="C6" s="661" t="str">
        <f>'Non-State'!D16</f>
        <v>020811801</v>
      </c>
      <c r="D6" s="662" t="str">
        <f>'Non-State'!F16</f>
        <v>CHRISTUS Spohn Hospital Beeville</v>
      </c>
      <c r="E6" s="663" t="s">
        <v>63</v>
      </c>
      <c r="F6" s="664">
        <f>'Non-State'!BG16</f>
        <v>0</v>
      </c>
      <c r="G6" s="664">
        <f>'Non-State'!BH16</f>
        <v>0</v>
      </c>
      <c r="H6" s="664">
        <f>'Non-State'!BJ16</f>
        <v>3738941.95</v>
      </c>
      <c r="I6" s="664">
        <f>'Non-State'!BO16</f>
        <v>0</v>
      </c>
      <c r="J6" s="664">
        <f>'Non-State'!BL16</f>
        <v>3738941.95</v>
      </c>
      <c r="K6" s="664">
        <f>'Non-State'!BR16</f>
        <v>0</v>
      </c>
      <c r="L6" s="664">
        <f>'Non-State'!CH16</f>
        <v>4714842.71</v>
      </c>
      <c r="M6" s="664">
        <f>'Non-State'!CB16</f>
        <v>0</v>
      </c>
    </row>
    <row r="7" spans="1:13" x14ac:dyDescent="0.25">
      <c r="B7" s="661" t="str">
        <f>'Non-State'!C17</f>
        <v>020817501</v>
      </c>
      <c r="C7" s="661" t="str">
        <f>'Non-State'!D17</f>
        <v>020817501</v>
      </c>
      <c r="D7" s="662" t="str">
        <f>'Non-State'!F17</f>
        <v>HCA Houston Healthcare Southeast</v>
      </c>
      <c r="E7" s="663" t="s">
        <v>63</v>
      </c>
      <c r="F7" s="664">
        <f>'Non-State'!BG17</f>
        <v>0</v>
      </c>
      <c r="G7" s="664">
        <f>'Non-State'!BH17</f>
        <v>0</v>
      </c>
      <c r="H7" s="664">
        <f>'Non-State'!BJ17</f>
        <v>6000000</v>
      </c>
      <c r="I7" s="664">
        <f>'Non-State'!BO17</f>
        <v>0</v>
      </c>
      <c r="J7" s="664">
        <f>'Non-State'!BL17</f>
        <v>6000000</v>
      </c>
      <c r="K7" s="664">
        <f>'Non-State'!BR17</f>
        <v>0</v>
      </c>
      <c r="L7" s="664">
        <f>'Non-State'!CH17</f>
        <v>6000000</v>
      </c>
      <c r="M7" s="664">
        <f>'Non-State'!CB17</f>
        <v>0</v>
      </c>
    </row>
    <row r="8" spans="1:13" x14ac:dyDescent="0.25">
      <c r="B8" s="661" t="str">
        <f>'Non-State'!C18</f>
        <v>020834001</v>
      </c>
      <c r="C8" s="661" t="str">
        <f>'Non-State'!D18</f>
        <v>020834001</v>
      </c>
      <c r="D8" s="662" t="str">
        <f>'Non-State'!F18</f>
        <v>Memorial Hermann Hospital System</v>
      </c>
      <c r="E8" s="663" t="s">
        <v>63</v>
      </c>
      <c r="F8" s="664">
        <f>'Non-State'!BG18</f>
        <v>0</v>
      </c>
      <c r="G8" s="664">
        <f>'Non-State'!BH18</f>
        <v>0</v>
      </c>
      <c r="H8" s="664">
        <f>'Non-State'!BJ18</f>
        <v>22144721.309999999</v>
      </c>
      <c r="I8" s="664">
        <f>'Non-State'!BO18</f>
        <v>0</v>
      </c>
      <c r="J8" s="664">
        <f>'Non-State'!BL18</f>
        <v>22144721.309999999</v>
      </c>
      <c r="K8" s="664">
        <f>'Non-State'!BR18</f>
        <v>0</v>
      </c>
      <c r="L8" s="664">
        <f>'Non-State'!CH18</f>
        <v>22144721.309999999</v>
      </c>
      <c r="M8" s="664">
        <f>'Non-State'!CB18</f>
        <v>0</v>
      </c>
    </row>
    <row r="9" spans="1:13" x14ac:dyDescent="0.25">
      <c r="B9" s="661" t="str">
        <f>'Non-State'!C19</f>
        <v>020841501</v>
      </c>
      <c r="C9" s="661" t="str">
        <f>'Non-State'!D19</f>
        <v>020841501</v>
      </c>
      <c r="D9" s="662" t="str">
        <f>'Non-State'!F19</f>
        <v>HCA Houston Healthcare Conroe</v>
      </c>
      <c r="E9" s="663" t="s">
        <v>63</v>
      </c>
      <c r="F9" s="664">
        <f>'Non-State'!BG19</f>
        <v>0</v>
      </c>
      <c r="G9" s="664">
        <f>'Non-State'!BH19</f>
        <v>0</v>
      </c>
      <c r="H9" s="664">
        <f>'Non-State'!BJ19</f>
        <v>8000000</v>
      </c>
      <c r="I9" s="664">
        <f>'Non-State'!BO19</f>
        <v>0</v>
      </c>
      <c r="J9" s="664">
        <f>'Non-State'!BL19</f>
        <v>8000000</v>
      </c>
      <c r="K9" s="664">
        <f>'Non-State'!BR19</f>
        <v>0</v>
      </c>
      <c r="L9" s="664">
        <f>'Non-State'!CH19</f>
        <v>8000000</v>
      </c>
      <c r="M9" s="664">
        <f>'Non-State'!CB19</f>
        <v>0</v>
      </c>
    </row>
    <row r="10" spans="1:13" x14ac:dyDescent="0.25">
      <c r="B10" s="661" t="str">
        <f>'Non-State'!C20</f>
        <v>020908201</v>
      </c>
      <c r="C10" s="661" t="str">
        <f>'Non-State'!D20</f>
        <v>020908201</v>
      </c>
      <c r="D10" s="662" t="str">
        <f>'Non-State'!F20</f>
        <v>Texas Health Dallas</v>
      </c>
      <c r="E10" s="663" t="s">
        <v>63</v>
      </c>
      <c r="F10" s="664">
        <f>'Non-State'!BG20</f>
        <v>0</v>
      </c>
      <c r="G10" s="664">
        <f>'Non-State'!BH20</f>
        <v>0</v>
      </c>
      <c r="H10" s="664">
        <f>'Non-State'!BJ20</f>
        <v>13622305.59</v>
      </c>
      <c r="I10" s="664">
        <f>'Non-State'!BO20</f>
        <v>0</v>
      </c>
      <c r="J10" s="664">
        <f>'Non-State'!BL20</f>
        <v>13622305.59</v>
      </c>
      <c r="K10" s="664">
        <f>'Non-State'!BR20</f>
        <v>0</v>
      </c>
      <c r="L10" s="664">
        <f>'Non-State'!CH20</f>
        <v>13622305.59</v>
      </c>
      <c r="M10" s="664">
        <f>'Non-State'!CB20</f>
        <v>0</v>
      </c>
    </row>
    <row r="11" spans="1:13" x14ac:dyDescent="0.25">
      <c r="B11" s="661" t="str">
        <f>'Non-State'!C21</f>
        <v>020947001</v>
      </c>
      <c r="C11" s="661" t="str">
        <f>'Non-State'!D21</f>
        <v>020947001</v>
      </c>
      <c r="D11" s="662" t="str">
        <f>'Non-State'!F21</f>
        <v>Valley Regional Medical Center</v>
      </c>
      <c r="E11" s="663" t="s">
        <v>63</v>
      </c>
      <c r="F11" s="664">
        <f>'Non-State'!BG21</f>
        <v>0</v>
      </c>
      <c r="G11" s="664">
        <f>'Non-State'!BH21</f>
        <v>0</v>
      </c>
      <c r="H11" s="664">
        <f>'Non-State'!BJ21</f>
        <v>4989910.4800000004</v>
      </c>
      <c r="I11" s="664">
        <f>'Non-State'!BO21</f>
        <v>0</v>
      </c>
      <c r="J11" s="664">
        <f>'Non-State'!BL21</f>
        <v>4989910.4800000004</v>
      </c>
      <c r="K11" s="664">
        <f>'Non-State'!BR21</f>
        <v>0</v>
      </c>
      <c r="L11" s="664">
        <f>'Non-State'!CH21</f>
        <v>4989910.4800000004</v>
      </c>
      <c r="M11" s="664">
        <f>'Non-State'!CB21</f>
        <v>0</v>
      </c>
    </row>
    <row r="12" spans="1:13" x14ac:dyDescent="0.25">
      <c r="B12" s="661" t="str">
        <f>'Non-State'!C22</f>
        <v>020950401</v>
      </c>
      <c r="C12" s="661" t="str">
        <f>'Non-State'!D22</f>
        <v>020950401</v>
      </c>
      <c r="D12" s="662" t="str">
        <f>'Non-State'!F22</f>
        <v>Medical City Arlington</v>
      </c>
      <c r="E12" s="663" t="s">
        <v>63</v>
      </c>
      <c r="F12" s="664">
        <f>'Non-State'!BG22</f>
        <v>0</v>
      </c>
      <c r="G12" s="664">
        <f>'Non-State'!BH22</f>
        <v>0</v>
      </c>
      <c r="H12" s="664">
        <f>'Non-State'!BJ22</f>
        <v>8000000</v>
      </c>
      <c r="I12" s="664">
        <f>'Non-State'!BO22</f>
        <v>0</v>
      </c>
      <c r="J12" s="664">
        <f>'Non-State'!BL22</f>
        <v>8000000</v>
      </c>
      <c r="K12" s="664">
        <f>'Non-State'!BR22</f>
        <v>0</v>
      </c>
      <c r="L12" s="664">
        <f>'Non-State'!CH22</f>
        <v>8000000</v>
      </c>
      <c r="M12" s="664">
        <f>'Non-State'!CB22</f>
        <v>0</v>
      </c>
    </row>
    <row r="13" spans="1:13" x14ac:dyDescent="0.25">
      <c r="B13" s="661" t="str">
        <f>'Non-State'!C23</f>
        <v>020966001</v>
      </c>
      <c r="C13" s="661" t="str">
        <f>'Non-State'!D23</f>
        <v>020966001</v>
      </c>
      <c r="D13" s="662" t="str">
        <f>'Non-State'!F23</f>
        <v>Baylor Scott &amp; White Medical Center - Lake Pointe</v>
      </c>
      <c r="E13" s="663" t="s">
        <v>63</v>
      </c>
      <c r="F13" s="664">
        <f>'Non-State'!BG23</f>
        <v>0</v>
      </c>
      <c r="G13" s="664">
        <f>'Non-State'!BH23</f>
        <v>0</v>
      </c>
      <c r="H13" s="664">
        <f>'Non-State'!BJ23</f>
        <v>5034036.59</v>
      </c>
      <c r="I13" s="664">
        <f>'Non-State'!BO23</f>
        <v>0</v>
      </c>
      <c r="J13" s="664">
        <f>'Non-State'!BL23</f>
        <v>5034036.59</v>
      </c>
      <c r="K13" s="664">
        <f>'Non-State'!BR23</f>
        <v>0</v>
      </c>
      <c r="L13" s="664">
        <f>'Non-State'!CH23</f>
        <v>5034036.59</v>
      </c>
      <c r="M13" s="664">
        <f>'Non-State'!CB23</f>
        <v>0</v>
      </c>
    </row>
    <row r="14" spans="1:13" ht="16.5" customHeight="1" x14ac:dyDescent="0.25">
      <c r="B14" s="661" t="str">
        <f>'Non-State'!C24</f>
        <v>020973601</v>
      </c>
      <c r="C14" s="661" t="str">
        <f>'Non-State'!D24</f>
        <v>020973601</v>
      </c>
      <c r="D14" s="662" t="str">
        <f>'Non-State'!F24</f>
        <v>Corpus Christi Medical Center</v>
      </c>
      <c r="E14" s="663" t="s">
        <v>63</v>
      </c>
      <c r="F14" s="664">
        <f>'Non-State'!BG24</f>
        <v>0</v>
      </c>
      <c r="G14" s="664">
        <f>'Non-State'!BH24</f>
        <v>0</v>
      </c>
      <c r="H14" s="664">
        <f>'Non-State'!BJ24</f>
        <v>8000000</v>
      </c>
      <c r="I14" s="664">
        <f>'Non-State'!BO24</f>
        <v>0</v>
      </c>
      <c r="J14" s="664">
        <f>'Non-State'!BL24</f>
        <v>8000000</v>
      </c>
      <c r="K14" s="664">
        <f>'Non-State'!BR24</f>
        <v>0</v>
      </c>
      <c r="L14" s="664">
        <f>'Non-State'!CH24</f>
        <v>8000000</v>
      </c>
      <c r="M14" s="664">
        <f>'Non-State'!CB24</f>
        <v>0</v>
      </c>
    </row>
    <row r="15" spans="1:13" x14ac:dyDescent="0.25">
      <c r="B15" s="661" t="str">
        <f>'Non-State'!C25</f>
        <v>020976902</v>
      </c>
      <c r="C15" s="661" t="str">
        <f>'Non-State'!D25</f>
        <v>020976902</v>
      </c>
      <c r="D15" s="662" t="str">
        <f>'Non-State'!F25</f>
        <v>Christus St. Michael Health System</v>
      </c>
      <c r="E15" s="663" t="s">
        <v>63</v>
      </c>
      <c r="F15" s="664">
        <f>'Non-State'!BG25</f>
        <v>0</v>
      </c>
      <c r="G15" s="664">
        <f>'Non-State'!BH25</f>
        <v>0</v>
      </c>
      <c r="H15" s="664">
        <f>'Non-State'!BJ25</f>
        <v>14761950.58</v>
      </c>
      <c r="I15" s="664">
        <f>'Non-State'!BO25</f>
        <v>0</v>
      </c>
      <c r="J15" s="664">
        <f>'Non-State'!BL25</f>
        <v>14761950.58</v>
      </c>
      <c r="K15" s="664">
        <f>'Non-State'!BR25</f>
        <v>0</v>
      </c>
      <c r="L15" s="664">
        <f>'Non-State'!CH25</f>
        <v>14761950.58</v>
      </c>
      <c r="M15" s="664">
        <f>'Non-State'!CB25</f>
        <v>0</v>
      </c>
    </row>
    <row r="16" spans="1:13" x14ac:dyDescent="0.25">
      <c r="B16" s="661" t="str">
        <f>'Non-State'!C26</f>
        <v>020992601</v>
      </c>
      <c r="C16" s="661" t="str">
        <f>'Non-State'!D26</f>
        <v>020992601</v>
      </c>
      <c r="D16" s="662" t="str">
        <f>'Non-State'!F26</f>
        <v>Stonewall Memorial Hospital District</v>
      </c>
      <c r="E16" s="663" t="s">
        <v>63</v>
      </c>
      <c r="F16" s="664">
        <f>'Non-State'!BG26</f>
        <v>0</v>
      </c>
      <c r="G16" s="664">
        <f>'Non-State'!BH26</f>
        <v>0</v>
      </c>
      <c r="H16" s="664">
        <f>'Non-State'!BJ26</f>
        <v>448125.08</v>
      </c>
      <c r="I16" s="664">
        <f>'Non-State'!BO26</f>
        <v>157426.34</v>
      </c>
      <c r="J16" s="664">
        <f>'Non-State'!BL26</f>
        <v>448125.08</v>
      </c>
      <c r="K16" s="664">
        <f>'Non-State'!BR26</f>
        <v>157426.34</v>
      </c>
      <c r="L16" s="664">
        <f>'Non-State'!CH26</f>
        <v>448125.08</v>
      </c>
      <c r="M16" s="664">
        <f>'Non-State'!CB26</f>
        <v>0</v>
      </c>
    </row>
    <row r="17" spans="2:13" x14ac:dyDescent="0.25">
      <c r="B17" s="661" t="str">
        <f>'Non-State'!C27</f>
        <v>021189801</v>
      </c>
      <c r="C17" s="661" t="str">
        <f>'Non-State'!D27</f>
        <v>021189801</v>
      </c>
      <c r="D17" s="662" t="str">
        <f>'Non-State'!F27</f>
        <v>Millwood Hospital</v>
      </c>
      <c r="E17" s="663" t="s">
        <v>63</v>
      </c>
      <c r="F17" s="664">
        <f>'Non-State'!BG27</f>
        <v>0</v>
      </c>
      <c r="G17" s="664">
        <f>'Non-State'!BH27</f>
        <v>0</v>
      </c>
      <c r="H17" s="664">
        <f>'Non-State'!BJ27</f>
        <v>2699752.4</v>
      </c>
      <c r="I17" s="664">
        <f>'Non-State'!BO27</f>
        <v>0</v>
      </c>
      <c r="J17" s="664">
        <f>'Non-State'!BL27</f>
        <v>2699752.4</v>
      </c>
      <c r="K17" s="664">
        <f>'Non-State'!BR27</f>
        <v>0</v>
      </c>
      <c r="L17" s="664">
        <f>'Non-State'!CH27</f>
        <v>2699752.4</v>
      </c>
      <c r="M17" s="664">
        <f>'Non-State'!CB27</f>
        <v>0</v>
      </c>
    </row>
    <row r="18" spans="2:13" x14ac:dyDescent="0.25">
      <c r="B18" s="661" t="str">
        <f>'Non-State'!C28</f>
        <v>021203701</v>
      </c>
      <c r="C18" s="661" t="str">
        <f>'Non-State'!D28</f>
        <v>021203701</v>
      </c>
      <c r="D18" s="662" t="str">
        <f>'Non-State'!F28</f>
        <v>Cypress Creek Hospital Inc</v>
      </c>
      <c r="E18" s="663" t="s">
        <v>63</v>
      </c>
      <c r="F18" s="664">
        <f>'Non-State'!BG28</f>
        <v>0</v>
      </c>
      <c r="G18" s="664">
        <f>'Non-State'!BH28</f>
        <v>0</v>
      </c>
      <c r="H18" s="664">
        <f>'Non-State'!BJ28</f>
        <v>172351.1</v>
      </c>
      <c r="I18" s="664">
        <f>'Non-State'!BO28</f>
        <v>0</v>
      </c>
      <c r="J18" s="664">
        <f>'Non-State'!BL28</f>
        <v>172351.1</v>
      </c>
      <c r="K18" s="664">
        <f>'Non-State'!BR28</f>
        <v>0</v>
      </c>
      <c r="L18" s="664">
        <f>'Non-State'!CH28</f>
        <v>172351.1</v>
      </c>
      <c r="M18" s="664">
        <f>'Non-State'!CB28</f>
        <v>0</v>
      </c>
    </row>
    <row r="19" spans="2:13" x14ac:dyDescent="0.25">
      <c r="B19" s="661" t="str">
        <f>'Non-State'!C29</f>
        <v>021215104</v>
      </c>
      <c r="C19" s="661" t="str">
        <f>'Non-State'!D29</f>
        <v>021215104</v>
      </c>
      <c r="D19" s="662" t="str">
        <f>'Non-State'!F29</f>
        <v>Cedar Crest Hospital And Rtc</v>
      </c>
      <c r="E19" s="663" t="s">
        <v>63</v>
      </c>
      <c r="F19" s="664">
        <f>'Non-State'!BG29</f>
        <v>0</v>
      </c>
      <c r="G19" s="664">
        <f>'Non-State'!BH29</f>
        <v>0</v>
      </c>
      <c r="H19" s="664">
        <f>'Non-State'!BJ29</f>
        <v>1285200.77</v>
      </c>
      <c r="I19" s="664">
        <f>'Non-State'!BO29</f>
        <v>0</v>
      </c>
      <c r="J19" s="664">
        <f>'Non-State'!BL29</f>
        <v>1285200.77</v>
      </c>
      <c r="K19" s="664">
        <f>'Non-State'!BR29</f>
        <v>0</v>
      </c>
      <c r="L19" s="664">
        <f>'Non-State'!CH29</f>
        <v>1285200.77</v>
      </c>
      <c r="M19" s="664">
        <f>'Non-State'!CB29</f>
        <v>0</v>
      </c>
    </row>
    <row r="20" spans="2:13" x14ac:dyDescent="0.25">
      <c r="B20" s="661" t="str">
        <f>'Non-State'!C30</f>
        <v>021240902</v>
      </c>
      <c r="C20" s="661" t="str">
        <f>'Non-State'!D30</f>
        <v>021240902</v>
      </c>
      <c r="D20" s="662" t="str">
        <f>'Non-State'!F30</f>
        <v>Laurel Ridge Treatment Center</v>
      </c>
      <c r="E20" s="663" t="s">
        <v>63</v>
      </c>
      <c r="F20" s="664">
        <f>'Non-State'!BG30</f>
        <v>0</v>
      </c>
      <c r="G20" s="664">
        <f>'Non-State'!BH30</f>
        <v>0</v>
      </c>
      <c r="H20" s="664">
        <f>'Non-State'!BJ30</f>
        <v>287087.03999999998</v>
      </c>
      <c r="I20" s="664">
        <f>'Non-State'!BO30</f>
        <v>0</v>
      </c>
      <c r="J20" s="664">
        <f>'Non-State'!BL30</f>
        <v>287087.03999999998</v>
      </c>
      <c r="K20" s="664">
        <f>'Non-State'!BR30</f>
        <v>0</v>
      </c>
      <c r="L20" s="664">
        <f>'Non-State'!CH30</f>
        <v>287087.03999999998</v>
      </c>
      <c r="M20" s="664">
        <f>'Non-State'!CB30</f>
        <v>0</v>
      </c>
    </row>
    <row r="21" spans="2:13" x14ac:dyDescent="0.25">
      <c r="B21" s="661" t="str">
        <f>'Non-State'!C31</f>
        <v>094108002</v>
      </c>
      <c r="C21" s="661" t="str">
        <f>'Non-State'!D31</f>
        <v>094108002</v>
      </c>
      <c r="D21" s="662" t="str">
        <f>'Non-State'!F31</f>
        <v>CHRISTUS Mother Frances Hospital - Tyler</v>
      </c>
      <c r="E21" s="663" t="s">
        <v>63</v>
      </c>
      <c r="F21" s="664">
        <f>'Non-State'!BG31</f>
        <v>0</v>
      </c>
      <c r="G21" s="664">
        <f>'Non-State'!BH31</f>
        <v>0</v>
      </c>
      <c r="H21" s="664">
        <f>'Non-State'!BJ31</f>
        <v>8240337.3600000003</v>
      </c>
      <c r="I21" s="664">
        <f>'Non-State'!BO31</f>
        <v>0</v>
      </c>
      <c r="J21" s="664">
        <f>'Non-State'!BL31</f>
        <v>8240337.3600000003</v>
      </c>
      <c r="K21" s="664">
        <f>'Non-State'!BR31</f>
        <v>0</v>
      </c>
      <c r="L21" s="664">
        <f>'Non-State'!CH31</f>
        <v>8240337.3600000003</v>
      </c>
      <c r="M21" s="664">
        <f>'Non-State'!CB31</f>
        <v>0</v>
      </c>
    </row>
    <row r="22" spans="2:13" x14ac:dyDescent="0.25">
      <c r="B22" s="661" t="str">
        <f>'Non-State'!C32</f>
        <v>094109802</v>
      </c>
      <c r="C22" s="661" t="str">
        <f>'Non-State'!D32</f>
        <v>094109802</v>
      </c>
      <c r="D22" s="662" t="str">
        <f>'Non-State'!F32</f>
        <v>Las Palmas Del Sol Healthcare</v>
      </c>
      <c r="E22" s="663" t="s">
        <v>63</v>
      </c>
      <c r="F22" s="664">
        <f>'Non-State'!BG32</f>
        <v>0</v>
      </c>
      <c r="G22" s="664">
        <f>'Non-State'!BH32</f>
        <v>0</v>
      </c>
      <c r="H22" s="664">
        <f>'Non-State'!BJ32</f>
        <v>8000000</v>
      </c>
      <c r="I22" s="664">
        <f>'Non-State'!BO32</f>
        <v>0</v>
      </c>
      <c r="J22" s="664">
        <f>'Non-State'!BL32</f>
        <v>8000000</v>
      </c>
      <c r="K22" s="664">
        <f>'Non-State'!BR32</f>
        <v>0</v>
      </c>
      <c r="L22" s="664">
        <f>'Non-State'!CH32</f>
        <v>8000000</v>
      </c>
      <c r="M22" s="664">
        <f>'Non-State'!CB32</f>
        <v>0</v>
      </c>
    </row>
    <row r="23" spans="2:13" x14ac:dyDescent="0.25">
      <c r="B23" s="661" t="str">
        <f>'Non-State'!C33</f>
        <v>094113001</v>
      </c>
      <c r="C23" s="661" t="str">
        <f>'Non-State'!D33</f>
        <v>094113001</v>
      </c>
      <c r="D23" s="662" t="str">
        <f>'Non-State'!F33</f>
        <v>South Texas Health System</v>
      </c>
      <c r="E23" s="663" t="s">
        <v>63</v>
      </c>
      <c r="F23" s="664">
        <f>'Non-State'!BG33</f>
        <v>0</v>
      </c>
      <c r="G23" s="664">
        <f>'Non-State'!BH33</f>
        <v>0</v>
      </c>
      <c r="H23" s="664">
        <f>'Non-State'!BJ33</f>
        <v>8000000</v>
      </c>
      <c r="I23" s="664">
        <f>'Non-State'!BO33</f>
        <v>0</v>
      </c>
      <c r="J23" s="664">
        <f>'Non-State'!BL33</f>
        <v>8000000</v>
      </c>
      <c r="K23" s="664">
        <f>'Non-State'!BR33</f>
        <v>0</v>
      </c>
      <c r="L23" s="664">
        <f>'Non-State'!CH33</f>
        <v>8000000</v>
      </c>
      <c r="M23" s="664">
        <f>'Non-State'!CB33</f>
        <v>0</v>
      </c>
    </row>
    <row r="24" spans="2:13" x14ac:dyDescent="0.25">
      <c r="B24" s="661" t="str">
        <f>'Non-State'!C34</f>
        <v>094118902</v>
      </c>
      <c r="C24" s="661" t="str">
        <f>'Non-State'!D34</f>
        <v>094118902</v>
      </c>
      <c r="D24" s="662" t="str">
        <f>'Non-State'!F34</f>
        <v>Detar Hospital</v>
      </c>
      <c r="E24" s="663" t="s">
        <v>63</v>
      </c>
      <c r="F24" s="664">
        <f>'Non-State'!BG34</f>
        <v>0</v>
      </c>
      <c r="G24" s="664">
        <f>'Non-State'!BH34</f>
        <v>0</v>
      </c>
      <c r="H24" s="664">
        <f>'Non-State'!BJ34</f>
        <v>3605146.02</v>
      </c>
      <c r="I24" s="664">
        <f>'Non-State'!BO34</f>
        <v>0</v>
      </c>
      <c r="J24" s="664">
        <f>'Non-State'!BL34</f>
        <v>3605146.02</v>
      </c>
      <c r="K24" s="664">
        <f>'Non-State'!BR34</f>
        <v>0</v>
      </c>
      <c r="L24" s="664">
        <f>'Non-State'!CH34</f>
        <v>3605146.02</v>
      </c>
      <c r="M24" s="664">
        <f>'Non-State'!CB34</f>
        <v>0</v>
      </c>
    </row>
    <row r="25" spans="2:13" x14ac:dyDescent="0.25">
      <c r="B25" s="661" t="str">
        <f>'Non-State'!C35</f>
        <v>094121303</v>
      </c>
      <c r="C25" s="661" t="str">
        <f>'Non-State'!D35</f>
        <v>094121303</v>
      </c>
      <c r="D25" s="662" t="str">
        <f>'Non-State'!F35</f>
        <v>Memorial Hospital</v>
      </c>
      <c r="E25" s="663" t="s">
        <v>63</v>
      </c>
      <c r="F25" s="664">
        <f>'Non-State'!BG35</f>
        <v>0</v>
      </c>
      <c r="G25" s="664">
        <f>'Non-State'!BH35</f>
        <v>0</v>
      </c>
      <c r="H25" s="664">
        <f>'Non-State'!BJ35</f>
        <v>6543634.2400000002</v>
      </c>
      <c r="I25" s="664">
        <f>'Non-State'!BO35</f>
        <v>2298778.71</v>
      </c>
      <c r="J25" s="664">
        <f>'Non-State'!BL35</f>
        <v>6543634.2400000002</v>
      </c>
      <c r="K25" s="664">
        <f>'Non-State'!BR35</f>
        <v>2298778.71</v>
      </c>
      <c r="L25" s="664">
        <f>'Non-State'!CH35</f>
        <v>6543634.2400000002</v>
      </c>
      <c r="M25" s="664">
        <f>'Non-State'!CB35</f>
        <v>0</v>
      </c>
    </row>
    <row r="26" spans="2:13" x14ac:dyDescent="0.25">
      <c r="B26" s="661" t="str">
        <f>'Non-State'!C36</f>
        <v>094129604</v>
      </c>
      <c r="C26" s="661" t="str">
        <f>'Non-State'!D36</f>
        <v>094129604</v>
      </c>
      <c r="D26" s="662" t="str">
        <f>'Non-State'!F36</f>
        <v>Moore County Hospital District</v>
      </c>
      <c r="E26" s="663" t="s">
        <v>63</v>
      </c>
      <c r="F26" s="664">
        <f>'Non-State'!BG36</f>
        <v>0</v>
      </c>
      <c r="G26" s="664">
        <f>'Non-State'!BH36</f>
        <v>0</v>
      </c>
      <c r="H26" s="664">
        <f>'Non-State'!BJ36</f>
        <v>2490404.2200000002</v>
      </c>
      <c r="I26" s="664">
        <f>'Non-State'!BO36</f>
        <v>874879</v>
      </c>
      <c r="J26" s="664">
        <f>'Non-State'!BL36</f>
        <v>2490404.2200000002</v>
      </c>
      <c r="K26" s="664">
        <f>'Non-State'!BR36</f>
        <v>874879</v>
      </c>
      <c r="L26" s="664">
        <f>'Non-State'!CH36</f>
        <v>2490404.2200000002</v>
      </c>
      <c r="M26" s="664">
        <f>'Non-State'!CB36</f>
        <v>0</v>
      </c>
    </row>
    <row r="27" spans="2:13" x14ac:dyDescent="0.25">
      <c r="B27" s="661" t="str">
        <f>'Non-State'!C37</f>
        <v>094148602</v>
      </c>
      <c r="C27" s="661" t="str">
        <f>'Non-State'!D37</f>
        <v>094148602</v>
      </c>
      <c r="D27" s="662" t="str">
        <f>'Non-State'!F37</f>
        <v>Baptist Hospitals Of Southeast Texas</v>
      </c>
      <c r="E27" s="663" t="s">
        <v>63</v>
      </c>
      <c r="F27" s="664">
        <f>'Non-State'!BG37</f>
        <v>0</v>
      </c>
      <c r="G27" s="664">
        <f>'Non-State'!BH37</f>
        <v>0</v>
      </c>
      <c r="H27" s="664">
        <f>'Non-State'!BJ37</f>
        <v>7719650.1699999999</v>
      </c>
      <c r="I27" s="664">
        <f>'Non-State'!BO37</f>
        <v>0</v>
      </c>
      <c r="J27" s="664">
        <f>'Non-State'!BL37</f>
        <v>7719650.1699999999</v>
      </c>
      <c r="K27" s="664">
        <f>'Non-State'!BR37</f>
        <v>0</v>
      </c>
      <c r="L27" s="664">
        <f>'Non-State'!CH37</f>
        <v>7719650.1699999999</v>
      </c>
      <c r="M27" s="664">
        <f>'Non-State'!CB37</f>
        <v>0</v>
      </c>
    </row>
    <row r="28" spans="2:13" x14ac:dyDescent="0.25">
      <c r="B28" s="661" t="str">
        <f>'Non-State'!C38</f>
        <v>094154402</v>
      </c>
      <c r="C28" s="661" t="str">
        <f>'Non-State'!D38</f>
        <v>094154402</v>
      </c>
      <c r="D28" s="662" t="str">
        <f>'Non-State'!F38</f>
        <v>Methodist Hospital</v>
      </c>
      <c r="E28" s="663" t="s">
        <v>63</v>
      </c>
      <c r="F28" s="664">
        <f>'Non-State'!BG38</f>
        <v>0</v>
      </c>
      <c r="G28" s="664">
        <f>'Non-State'!BH38</f>
        <v>0</v>
      </c>
      <c r="H28" s="664">
        <f>'Non-State'!BJ38</f>
        <v>8000000</v>
      </c>
      <c r="I28" s="664">
        <f>'Non-State'!BO38</f>
        <v>0</v>
      </c>
      <c r="J28" s="664">
        <f>'Non-State'!BL38</f>
        <v>8000000</v>
      </c>
      <c r="K28" s="664">
        <f>'Non-State'!BR38</f>
        <v>0</v>
      </c>
      <c r="L28" s="664">
        <f>'Non-State'!CH38</f>
        <v>8000000</v>
      </c>
      <c r="M28" s="664">
        <f>'Non-State'!CB38</f>
        <v>0</v>
      </c>
    </row>
    <row r="29" spans="2:13" x14ac:dyDescent="0.25">
      <c r="B29" s="661" t="str">
        <f>'Non-State'!C39</f>
        <v>094160103</v>
      </c>
      <c r="C29" s="661" t="str">
        <f>'Non-State'!D39</f>
        <v>094160103</v>
      </c>
      <c r="D29" s="662" t="str">
        <f>'Non-State'!F39</f>
        <v>St. David's Medical Center</v>
      </c>
      <c r="E29" s="663" t="s">
        <v>63</v>
      </c>
      <c r="F29" s="664">
        <f>'Non-State'!BG39</f>
        <v>0</v>
      </c>
      <c r="G29" s="664">
        <f>'Non-State'!BH39</f>
        <v>0</v>
      </c>
      <c r="H29" s="664">
        <f>'Non-State'!BJ39</f>
        <v>6000000</v>
      </c>
      <c r="I29" s="664">
        <f>'Non-State'!BO39</f>
        <v>0</v>
      </c>
      <c r="J29" s="664">
        <f>'Non-State'!BL39</f>
        <v>6000000</v>
      </c>
      <c r="K29" s="664">
        <f>'Non-State'!BR39</f>
        <v>0</v>
      </c>
      <c r="L29" s="664">
        <f>'Non-State'!CH39</f>
        <v>6000000</v>
      </c>
      <c r="M29" s="664">
        <f>'Non-State'!CB39</f>
        <v>0</v>
      </c>
    </row>
    <row r="30" spans="2:13" x14ac:dyDescent="0.25">
      <c r="B30" s="661" t="str">
        <f>'Non-State'!C40</f>
        <v>094186602</v>
      </c>
      <c r="C30" s="661" t="str">
        <f>'Non-State'!D40</f>
        <v>094186602</v>
      </c>
      <c r="D30" s="662" t="str">
        <f>'Non-State'!F40</f>
        <v>Doctors Hospital Of Laredo</v>
      </c>
      <c r="E30" s="663" t="s">
        <v>63</v>
      </c>
      <c r="F30" s="664">
        <f>'Non-State'!BG40</f>
        <v>0</v>
      </c>
      <c r="G30" s="664">
        <f>'Non-State'!BH40</f>
        <v>0</v>
      </c>
      <c r="H30" s="664">
        <f>'Non-State'!BJ40</f>
        <v>6000000</v>
      </c>
      <c r="I30" s="664">
        <f>'Non-State'!BO40</f>
        <v>0</v>
      </c>
      <c r="J30" s="664">
        <f>'Non-State'!BL40</f>
        <v>6000000</v>
      </c>
      <c r="K30" s="664">
        <f>'Non-State'!BR40</f>
        <v>0</v>
      </c>
      <c r="L30" s="664">
        <f>'Non-State'!CH40</f>
        <v>6000000</v>
      </c>
      <c r="M30" s="664">
        <f>'Non-State'!CB40</f>
        <v>0</v>
      </c>
    </row>
    <row r="31" spans="2:13" x14ac:dyDescent="0.25">
      <c r="B31" s="661" t="str">
        <f>'Non-State'!C41</f>
        <v>094187402</v>
      </c>
      <c r="C31" s="661" t="str">
        <f>'Non-State'!D41</f>
        <v>094187402</v>
      </c>
      <c r="D31" s="662" t="str">
        <f>'Non-State'!F41</f>
        <v>Hca Houston Healthcare West</v>
      </c>
      <c r="E31" s="663" t="s">
        <v>63</v>
      </c>
      <c r="F31" s="664">
        <f>'Non-State'!BG41</f>
        <v>0</v>
      </c>
      <c r="G31" s="664">
        <f>'Non-State'!BH41</f>
        <v>0</v>
      </c>
      <c r="H31" s="664">
        <f>'Non-State'!BJ41</f>
        <v>8000000</v>
      </c>
      <c r="I31" s="664">
        <f>'Non-State'!BO41</f>
        <v>0</v>
      </c>
      <c r="J31" s="664">
        <f>'Non-State'!BL41</f>
        <v>8000000</v>
      </c>
      <c r="K31" s="664">
        <f>'Non-State'!BR41</f>
        <v>0</v>
      </c>
      <c r="L31" s="664">
        <f>'Non-State'!CH41</f>
        <v>8000000</v>
      </c>
      <c r="M31" s="664">
        <f>'Non-State'!CB41</f>
        <v>0</v>
      </c>
    </row>
    <row r="32" spans="2:13" x14ac:dyDescent="0.25">
      <c r="B32" s="661" t="str">
        <f>'Non-State'!C42</f>
        <v>094216103</v>
      </c>
      <c r="C32" s="661" t="str">
        <f>'Non-State'!D42</f>
        <v>094216103</v>
      </c>
      <c r="D32" s="662" t="str">
        <f>'Non-State'!F42</f>
        <v>North Austin Medical Center</v>
      </c>
      <c r="E32" s="663" t="s">
        <v>63</v>
      </c>
      <c r="F32" s="664">
        <f>'Non-State'!BG42</f>
        <v>0</v>
      </c>
      <c r="G32" s="664">
        <f>'Non-State'!BH42</f>
        <v>0</v>
      </c>
      <c r="H32" s="664">
        <f>'Non-State'!BJ42</f>
        <v>6000000</v>
      </c>
      <c r="I32" s="664">
        <f>'Non-State'!BO42</f>
        <v>0</v>
      </c>
      <c r="J32" s="664">
        <f>'Non-State'!BL42</f>
        <v>6000000</v>
      </c>
      <c r="K32" s="664">
        <f>'Non-State'!BR42</f>
        <v>0</v>
      </c>
      <c r="L32" s="664">
        <f>'Non-State'!CH42</f>
        <v>6000000</v>
      </c>
      <c r="M32" s="664">
        <f>'Non-State'!CB42</f>
        <v>0</v>
      </c>
    </row>
    <row r="33" spans="2:13" x14ac:dyDescent="0.25">
      <c r="B33" s="661" t="str">
        <f>'Non-State'!C43</f>
        <v>094222903</v>
      </c>
      <c r="C33" s="661" t="str">
        <f>'Non-State'!D43</f>
        <v>094222903</v>
      </c>
      <c r="D33" s="662" t="str">
        <f>'Non-State'!F43</f>
        <v>CHRISTUS Spohn Hospital Alice</v>
      </c>
      <c r="E33" s="663" t="s">
        <v>63</v>
      </c>
      <c r="F33" s="664">
        <f>'Non-State'!BG43</f>
        <v>0</v>
      </c>
      <c r="G33" s="664">
        <f>'Non-State'!BH43</f>
        <v>0</v>
      </c>
      <c r="H33" s="664">
        <f>'Non-State'!BJ43</f>
        <v>5673520.6500000004</v>
      </c>
      <c r="I33" s="664">
        <f>'Non-State'!BO43</f>
        <v>0</v>
      </c>
      <c r="J33" s="664">
        <f>'Non-State'!BL43</f>
        <v>5673520.6500000004</v>
      </c>
      <c r="K33" s="664">
        <f>'Non-State'!BR43</f>
        <v>0</v>
      </c>
      <c r="L33" s="664">
        <f>'Non-State'!CH43</f>
        <v>7154365.5500000007</v>
      </c>
      <c r="M33" s="664">
        <f>'Non-State'!CB43</f>
        <v>0</v>
      </c>
    </row>
    <row r="34" spans="2:13" x14ac:dyDescent="0.25">
      <c r="B34" s="661" t="str">
        <f>'Non-State'!C44</f>
        <v>094224503</v>
      </c>
      <c r="C34" s="661" t="str">
        <f>'Non-State'!D44</f>
        <v>094224503</v>
      </c>
      <c r="D34" s="662" t="str">
        <f>'Non-State'!F44</f>
        <v>Big Bend Regional Medical Center</v>
      </c>
      <c r="E34" s="663" t="s">
        <v>63</v>
      </c>
      <c r="F34" s="664">
        <f>'Non-State'!BG44</f>
        <v>0</v>
      </c>
      <c r="G34" s="664">
        <f>'Non-State'!BH44</f>
        <v>0</v>
      </c>
      <c r="H34" s="664">
        <f>'Non-State'!BJ44</f>
        <v>2344453.1200000001</v>
      </c>
      <c r="I34" s="664">
        <f>'Non-State'!BO44</f>
        <v>0</v>
      </c>
      <c r="J34" s="664">
        <f>'Non-State'!BL44</f>
        <v>2344453.1200000001</v>
      </c>
      <c r="K34" s="664">
        <f>'Non-State'!BR44</f>
        <v>0</v>
      </c>
      <c r="L34" s="664">
        <f>'Non-State'!CH44</f>
        <v>2956378.5300000003</v>
      </c>
      <c r="M34" s="664">
        <f>'Non-State'!CB44</f>
        <v>0</v>
      </c>
    </row>
    <row r="35" spans="2:13" x14ac:dyDescent="0.25">
      <c r="B35" s="661" t="str">
        <f>'Non-State'!C45</f>
        <v>110839103</v>
      </c>
      <c r="C35" s="661" t="str">
        <f>'Non-State'!D45</f>
        <v>110839103</v>
      </c>
      <c r="D35" s="662" t="str">
        <f>'Non-State'!F45</f>
        <v>Longview Regional Medical Center</v>
      </c>
      <c r="E35" s="663" t="s">
        <v>63</v>
      </c>
      <c r="F35" s="664">
        <f>'Non-State'!BG45</f>
        <v>0</v>
      </c>
      <c r="G35" s="664">
        <f>'Non-State'!BH45</f>
        <v>0</v>
      </c>
      <c r="H35" s="664">
        <f>'Non-State'!BJ45</f>
        <v>2930102.1</v>
      </c>
      <c r="I35" s="664">
        <f>'Non-State'!BO45</f>
        <v>0</v>
      </c>
      <c r="J35" s="664">
        <f>'Non-State'!BL45</f>
        <v>2930102.1</v>
      </c>
      <c r="K35" s="664">
        <f>'Non-State'!BR45</f>
        <v>0</v>
      </c>
      <c r="L35" s="664">
        <f>'Non-State'!CH45</f>
        <v>2930102.1</v>
      </c>
      <c r="M35" s="664">
        <f>'Non-State'!CB45</f>
        <v>0</v>
      </c>
    </row>
    <row r="36" spans="2:13" x14ac:dyDescent="0.25">
      <c r="B36" s="661" t="str">
        <f>'Non-State'!C46</f>
        <v>111829102</v>
      </c>
      <c r="C36" s="661" t="str">
        <f>'Non-State'!D46</f>
        <v>111829102</v>
      </c>
      <c r="D36" s="662" t="str">
        <f>'Non-State'!F46</f>
        <v>Ascension Providence</v>
      </c>
      <c r="E36" s="663" t="s">
        <v>63</v>
      </c>
      <c r="F36" s="664">
        <f>'Non-State'!BG46</f>
        <v>0</v>
      </c>
      <c r="G36" s="664">
        <f>'Non-State'!BH46</f>
        <v>0</v>
      </c>
      <c r="H36" s="664">
        <f>'Non-State'!BJ46</f>
        <v>9568170.6300000008</v>
      </c>
      <c r="I36" s="664">
        <f>'Non-State'!BO46</f>
        <v>0</v>
      </c>
      <c r="J36" s="664">
        <f>'Non-State'!BL46</f>
        <v>9568170.6300000008</v>
      </c>
      <c r="K36" s="664">
        <f>'Non-State'!BR46</f>
        <v>0</v>
      </c>
      <c r="L36" s="664">
        <f>'Non-State'!CH46</f>
        <v>9568170.6300000008</v>
      </c>
      <c r="M36" s="664">
        <f>'Non-State'!CB46</f>
        <v>0</v>
      </c>
    </row>
    <row r="37" spans="2:13" x14ac:dyDescent="0.25">
      <c r="B37" s="661" t="str">
        <f>'Non-State'!C47</f>
        <v>111915801</v>
      </c>
      <c r="C37" s="661" t="str">
        <f>'Non-State'!D47</f>
        <v>111915801</v>
      </c>
      <c r="D37" s="662" t="str">
        <f>'Non-State'!F47</f>
        <v>Parkview Regional Hospital</v>
      </c>
      <c r="E37" s="663" t="s">
        <v>63</v>
      </c>
      <c r="F37" s="664">
        <f>'Non-State'!BG47</f>
        <v>0</v>
      </c>
      <c r="G37" s="664">
        <f>'Non-State'!BH47</f>
        <v>0</v>
      </c>
      <c r="H37" s="664">
        <f>'Non-State'!BJ47</f>
        <v>217060.17</v>
      </c>
      <c r="I37" s="664">
        <f>'Non-State'!BO47</f>
        <v>0</v>
      </c>
      <c r="J37" s="664">
        <f>'Non-State'!BL47</f>
        <v>217060.17</v>
      </c>
      <c r="K37" s="664">
        <f>'Non-State'!BR47</f>
        <v>0</v>
      </c>
      <c r="L37" s="664">
        <f>'Non-State'!CH47</f>
        <v>273715.02</v>
      </c>
      <c r="M37" s="664">
        <f>'Non-State'!CB47</f>
        <v>0</v>
      </c>
    </row>
    <row r="38" spans="2:13" x14ac:dyDescent="0.25">
      <c r="B38" s="661" t="str">
        <f>'Non-State'!C48</f>
        <v>112667403</v>
      </c>
      <c r="C38" s="661" t="str">
        <f>'Non-State'!D48</f>
        <v>112667403</v>
      </c>
      <c r="D38" s="662" t="str">
        <f>'Non-State'!F48</f>
        <v>CHRISTUS Good Shepherd Health System</v>
      </c>
      <c r="E38" s="663" t="s">
        <v>63</v>
      </c>
      <c r="F38" s="664">
        <f>'Non-State'!BG48</f>
        <v>0</v>
      </c>
      <c r="G38" s="664">
        <f>'Non-State'!BH48</f>
        <v>0</v>
      </c>
      <c r="H38" s="664">
        <f>'Non-State'!BJ48</f>
        <v>8000000</v>
      </c>
      <c r="I38" s="664">
        <f>'Non-State'!BO48</f>
        <v>0</v>
      </c>
      <c r="J38" s="664">
        <f>'Non-State'!BL48</f>
        <v>8000000</v>
      </c>
      <c r="K38" s="664">
        <f>'Non-State'!BR48</f>
        <v>0</v>
      </c>
      <c r="L38" s="664">
        <f>'Non-State'!CH48</f>
        <v>8000000</v>
      </c>
      <c r="M38" s="664">
        <f>'Non-State'!CB48</f>
        <v>0</v>
      </c>
    </row>
    <row r="39" spans="2:13" x14ac:dyDescent="0.25">
      <c r="B39" s="661" t="str">
        <f>'Non-State'!C49</f>
        <v>112677302</v>
      </c>
      <c r="C39" s="661" t="str">
        <f>'Non-State'!D49</f>
        <v>112677302</v>
      </c>
      <c r="D39" s="662" t="str">
        <f>'Non-State'!F49</f>
        <v>Texas Health Fort Worth</v>
      </c>
      <c r="E39" s="663" t="s">
        <v>63</v>
      </c>
      <c r="F39" s="664">
        <f>'Non-State'!BG49</f>
        <v>0</v>
      </c>
      <c r="G39" s="664">
        <f>'Non-State'!BH49</f>
        <v>0</v>
      </c>
      <c r="H39" s="664">
        <f>'Non-State'!BJ49</f>
        <v>8000000</v>
      </c>
      <c r="I39" s="664">
        <f>'Non-State'!BO49</f>
        <v>0</v>
      </c>
      <c r="J39" s="664">
        <f>'Non-State'!BL49</f>
        <v>8000000</v>
      </c>
      <c r="K39" s="664">
        <f>'Non-State'!BR49</f>
        <v>0</v>
      </c>
      <c r="L39" s="664">
        <f>'Non-State'!CH49</f>
        <v>8000000</v>
      </c>
      <c r="M39" s="664">
        <f>'Non-State'!CB49</f>
        <v>0</v>
      </c>
    </row>
    <row r="40" spans="2:13" x14ac:dyDescent="0.25">
      <c r="B40" s="661" t="str">
        <f>'Non-State'!C50</f>
        <v>112679902</v>
      </c>
      <c r="C40" s="661" t="str">
        <f>'Non-State'!D50</f>
        <v>112679902</v>
      </c>
      <c r="D40" s="662" t="str">
        <f>'Non-State'!F50</f>
        <v>Mission Regional Medical Center</v>
      </c>
      <c r="E40" s="663" t="s">
        <v>63</v>
      </c>
      <c r="F40" s="664">
        <f>'Non-State'!BG50</f>
        <v>0</v>
      </c>
      <c r="G40" s="664">
        <f>'Non-State'!BH50</f>
        <v>0</v>
      </c>
      <c r="H40" s="664">
        <f>'Non-State'!BJ50</f>
        <v>6000000</v>
      </c>
      <c r="I40" s="664">
        <f>'Non-State'!BO50</f>
        <v>0</v>
      </c>
      <c r="J40" s="664">
        <f>'Non-State'!BL50</f>
        <v>6000000</v>
      </c>
      <c r="K40" s="664">
        <f>'Non-State'!BR50</f>
        <v>0</v>
      </c>
      <c r="L40" s="664">
        <f>'Non-State'!CH50</f>
        <v>6000000</v>
      </c>
      <c r="M40" s="664">
        <f>'Non-State'!CB50</f>
        <v>0</v>
      </c>
    </row>
    <row r="41" spans="2:13" x14ac:dyDescent="0.25">
      <c r="B41" s="661" t="str">
        <f>'Non-State'!C51</f>
        <v>112684904</v>
      </c>
      <c r="C41" s="661" t="str">
        <f>'Non-State'!D51</f>
        <v>112684904</v>
      </c>
      <c r="D41" s="662" t="str">
        <f>'Non-State'!F51</f>
        <v>Reeves County Hospital District</v>
      </c>
      <c r="E41" s="663" t="s">
        <v>63</v>
      </c>
      <c r="F41" s="664">
        <f>'Non-State'!BG51</f>
        <v>0</v>
      </c>
      <c r="G41" s="664">
        <f>'Non-State'!BH51</f>
        <v>0</v>
      </c>
      <c r="H41" s="664">
        <f>'Non-State'!BJ51</f>
        <v>4945882</v>
      </c>
      <c r="I41" s="664">
        <f>'Non-State'!BO51</f>
        <v>1737488.35</v>
      </c>
      <c r="J41" s="664">
        <f>'Non-State'!BL51</f>
        <v>4945882</v>
      </c>
      <c r="K41" s="664">
        <f>'Non-State'!BR51</f>
        <v>1737488.35</v>
      </c>
      <c r="L41" s="664">
        <f>'Non-State'!CH51</f>
        <v>4945882</v>
      </c>
      <c r="M41" s="664">
        <f>'Non-State'!CB51</f>
        <v>0</v>
      </c>
    </row>
    <row r="42" spans="2:13" x14ac:dyDescent="0.25">
      <c r="B42" s="661" t="str">
        <f>'Non-State'!C52</f>
        <v>112688004</v>
      </c>
      <c r="C42" s="661" t="str">
        <f>'Non-State'!D52</f>
        <v>112688004</v>
      </c>
      <c r="D42" s="662" t="str">
        <f>'Non-State'!F52</f>
        <v>Frio Regional Hospital</v>
      </c>
      <c r="E42" s="663" t="s">
        <v>63</v>
      </c>
      <c r="F42" s="664">
        <f>'Non-State'!BG52</f>
        <v>0</v>
      </c>
      <c r="G42" s="664">
        <f>'Non-State'!BH52</f>
        <v>0</v>
      </c>
      <c r="H42" s="664">
        <f>'Non-State'!BJ52</f>
        <v>2439539.61</v>
      </c>
      <c r="I42" s="664">
        <f>'Non-State'!BO52</f>
        <v>0</v>
      </c>
      <c r="J42" s="664">
        <f>'Non-State'!BL52</f>
        <v>2439539.61</v>
      </c>
      <c r="K42" s="664">
        <f>'Non-State'!BR52</f>
        <v>0</v>
      </c>
      <c r="L42" s="664">
        <f>'Non-State'!CH52</f>
        <v>3076283.53</v>
      </c>
      <c r="M42" s="664">
        <f>'Non-State'!CB52</f>
        <v>0</v>
      </c>
    </row>
    <row r="43" spans="2:13" x14ac:dyDescent="0.25">
      <c r="B43" s="661" t="str">
        <f>'Non-State'!C53</f>
        <v>112697102</v>
      </c>
      <c r="C43" s="661" t="str">
        <f>'Non-State'!D53</f>
        <v>112697102</v>
      </c>
      <c r="D43" s="662" t="str">
        <f>'Non-State'!F53</f>
        <v>Chi St. Luke'S Health Memorial Livingston</v>
      </c>
      <c r="E43" s="663" t="s">
        <v>63</v>
      </c>
      <c r="F43" s="664">
        <f>'Non-State'!BG53</f>
        <v>0</v>
      </c>
      <c r="G43" s="664">
        <f>'Non-State'!BH53</f>
        <v>0</v>
      </c>
      <c r="H43" s="664">
        <f>'Non-State'!BJ53</f>
        <v>2755545.63</v>
      </c>
      <c r="I43" s="664">
        <f>'Non-State'!BO53</f>
        <v>0</v>
      </c>
      <c r="J43" s="664">
        <f>'Non-State'!BL53</f>
        <v>2755545.63</v>
      </c>
      <c r="K43" s="664">
        <f>'Non-State'!BR53</f>
        <v>0</v>
      </c>
      <c r="L43" s="664">
        <f>'Non-State'!CH53</f>
        <v>3474770.2399999998</v>
      </c>
      <c r="M43" s="664">
        <f>'Non-State'!CB53</f>
        <v>0</v>
      </c>
    </row>
    <row r="44" spans="2:13" x14ac:dyDescent="0.25">
      <c r="B44" s="661" t="str">
        <f>'Non-State'!C54</f>
        <v>112704504</v>
      </c>
      <c r="C44" s="661" t="str">
        <f>'Non-State'!D54</f>
        <v>112704504</v>
      </c>
      <c r="D44" s="662" t="str">
        <f>'Non-State'!F54</f>
        <v>Ochiltree General Hospital</v>
      </c>
      <c r="E44" s="663" t="s">
        <v>63</v>
      </c>
      <c r="F44" s="664">
        <f>'Non-State'!BG54</f>
        <v>0</v>
      </c>
      <c r="G44" s="664">
        <f>'Non-State'!BH54</f>
        <v>0</v>
      </c>
      <c r="H44" s="664">
        <f>'Non-State'!BJ54</f>
        <v>966664.29</v>
      </c>
      <c r="I44" s="664">
        <f>'Non-State'!BO54</f>
        <v>339589.17</v>
      </c>
      <c r="J44" s="664">
        <f>'Non-State'!BL54</f>
        <v>966664.29</v>
      </c>
      <c r="K44" s="664">
        <f>'Non-State'!BR54</f>
        <v>339589.17</v>
      </c>
      <c r="L44" s="664">
        <f>'Non-State'!CH54</f>
        <v>966664.29</v>
      </c>
      <c r="M44" s="664">
        <f>'Non-State'!CB54</f>
        <v>0</v>
      </c>
    </row>
    <row r="45" spans="2:13" x14ac:dyDescent="0.25">
      <c r="B45" s="661" t="str">
        <f>'Non-State'!C55</f>
        <v>112711003</v>
      </c>
      <c r="C45" s="661" t="str">
        <f>'Non-State'!D55</f>
        <v>112711003</v>
      </c>
      <c r="D45" s="662" t="str">
        <f>'Non-State'!F55</f>
        <v>Odessa Regional Medical Center</v>
      </c>
      <c r="E45" s="663" t="s">
        <v>63</v>
      </c>
      <c r="F45" s="664">
        <f>'Non-State'!BG55</f>
        <v>0</v>
      </c>
      <c r="G45" s="664">
        <f>'Non-State'!BH55</f>
        <v>0</v>
      </c>
      <c r="H45" s="664">
        <f>'Non-State'!BJ55</f>
        <v>2219708.37</v>
      </c>
      <c r="I45" s="664">
        <f>'Non-State'!BO55</f>
        <v>0</v>
      </c>
      <c r="J45" s="664">
        <f>'Non-State'!BL55</f>
        <v>2219708.37</v>
      </c>
      <c r="K45" s="664">
        <f>'Non-State'!BR55</f>
        <v>0</v>
      </c>
      <c r="L45" s="664">
        <f>'Non-State'!CH55</f>
        <v>2219708.37</v>
      </c>
      <c r="M45" s="664">
        <f>'Non-State'!CB55</f>
        <v>0</v>
      </c>
    </row>
    <row r="46" spans="2:13" x14ac:dyDescent="0.25">
      <c r="B46" s="661" t="str">
        <f>'Non-State'!C56</f>
        <v>112716902</v>
      </c>
      <c r="C46" s="661" t="str">
        <f>'Non-State'!D56</f>
        <v>112716902</v>
      </c>
      <c r="D46" s="662" t="str">
        <f>'Non-State'!F56</f>
        <v>Rio Grande Regional Hospital</v>
      </c>
      <c r="E46" s="663" t="s">
        <v>63</v>
      </c>
      <c r="F46" s="664">
        <f>'Non-State'!BG56</f>
        <v>0</v>
      </c>
      <c r="G46" s="664">
        <f>'Non-State'!BH56</f>
        <v>0</v>
      </c>
      <c r="H46" s="664">
        <f>'Non-State'!BJ56</f>
        <v>6000000</v>
      </c>
      <c r="I46" s="664">
        <f>'Non-State'!BO56</f>
        <v>0</v>
      </c>
      <c r="J46" s="664">
        <f>'Non-State'!BL56</f>
        <v>6000000</v>
      </c>
      <c r="K46" s="664">
        <f>'Non-State'!BR56</f>
        <v>0</v>
      </c>
      <c r="L46" s="664">
        <f>'Non-State'!CH56</f>
        <v>6000000</v>
      </c>
      <c r="M46" s="664">
        <f>'Non-State'!CB56</f>
        <v>0</v>
      </c>
    </row>
    <row r="47" spans="2:13" x14ac:dyDescent="0.25">
      <c r="B47" s="661" t="str">
        <f>'Non-State'!C57</f>
        <v>112724302</v>
      </c>
      <c r="C47" s="661" t="str">
        <f>'Non-State'!D57</f>
        <v>112724302</v>
      </c>
      <c r="D47" s="662" t="str">
        <f>'Non-State'!F57</f>
        <v>HCA Houston Healthcare Kingwood</v>
      </c>
      <c r="E47" s="663" t="s">
        <v>63</v>
      </c>
      <c r="F47" s="664">
        <f>'Non-State'!BG57</f>
        <v>0</v>
      </c>
      <c r="G47" s="664">
        <f>'Non-State'!BH57</f>
        <v>0</v>
      </c>
      <c r="H47" s="664">
        <f>'Non-State'!BJ57</f>
        <v>8000000</v>
      </c>
      <c r="I47" s="664">
        <f>'Non-State'!BO57</f>
        <v>0</v>
      </c>
      <c r="J47" s="664">
        <f>'Non-State'!BL57</f>
        <v>8000000</v>
      </c>
      <c r="K47" s="664">
        <f>'Non-State'!BR57</f>
        <v>0</v>
      </c>
      <c r="L47" s="664">
        <f>'Non-State'!CH57</f>
        <v>8000000</v>
      </c>
      <c r="M47" s="664">
        <f>'Non-State'!CB57</f>
        <v>0</v>
      </c>
    </row>
    <row r="48" spans="2:13" x14ac:dyDescent="0.25">
      <c r="B48" s="661" t="str">
        <f>'Non-State'!C58</f>
        <v>112742503</v>
      </c>
      <c r="C48" s="661" t="str">
        <f>'Non-State'!D58</f>
        <v>112742503</v>
      </c>
      <c r="D48" s="662" t="str">
        <f>'Non-State'!F58</f>
        <v>Clarity Child Guidance Center</v>
      </c>
      <c r="E48" s="663" t="s">
        <v>63</v>
      </c>
      <c r="F48" s="664">
        <f>'Non-State'!BG58</f>
        <v>0</v>
      </c>
      <c r="G48" s="664">
        <f>'Non-State'!BH58</f>
        <v>0</v>
      </c>
      <c r="H48" s="664">
        <f>'Non-State'!BJ58</f>
        <v>808361.09</v>
      </c>
      <c r="I48" s="664">
        <f>'Non-State'!BO58</f>
        <v>0</v>
      </c>
      <c r="J48" s="664">
        <f>'Non-State'!BL58</f>
        <v>808361.09</v>
      </c>
      <c r="K48" s="664">
        <f>'Non-State'!BR58</f>
        <v>0</v>
      </c>
      <c r="L48" s="664">
        <f>'Non-State'!CH58</f>
        <v>808361.09</v>
      </c>
      <c r="M48" s="664">
        <f>'Non-State'!CB58</f>
        <v>0</v>
      </c>
    </row>
    <row r="49" spans="2:13" x14ac:dyDescent="0.25">
      <c r="B49" s="661" t="str">
        <f>'Non-State'!C59</f>
        <v>112745802</v>
      </c>
      <c r="C49" s="661" t="str">
        <f>'Non-State'!D59</f>
        <v>112745802</v>
      </c>
      <c r="D49" s="662" t="str">
        <f>'Non-State'!F59</f>
        <v>River Crest Hospital</v>
      </c>
      <c r="E49" s="663" t="s">
        <v>63</v>
      </c>
      <c r="F49" s="664">
        <f>'Non-State'!BG59</f>
        <v>0</v>
      </c>
      <c r="G49" s="664">
        <f>'Non-State'!BH59</f>
        <v>0</v>
      </c>
      <c r="H49" s="664">
        <f>'Non-State'!BJ59</f>
        <v>2267546.5099999998</v>
      </c>
      <c r="I49" s="664">
        <f>'Non-State'!BO59</f>
        <v>0</v>
      </c>
      <c r="J49" s="664">
        <f>'Non-State'!BL59</f>
        <v>2267546.5099999998</v>
      </c>
      <c r="K49" s="664">
        <f>'Non-State'!BR59</f>
        <v>0</v>
      </c>
      <c r="L49" s="664">
        <f>'Non-State'!CH59</f>
        <v>2267546.5099999998</v>
      </c>
      <c r="M49" s="664">
        <f>'Non-State'!CB59</f>
        <v>0</v>
      </c>
    </row>
    <row r="50" spans="2:13" x14ac:dyDescent="0.25">
      <c r="B50" s="661" t="str">
        <f>'Non-State'!C60</f>
        <v>112746602</v>
      </c>
      <c r="C50" s="661" t="str">
        <f>'Non-State'!D60</f>
        <v>112746602</v>
      </c>
      <c r="D50" s="662" t="str">
        <f>'Non-State'!F60</f>
        <v>Glen Oaks Hospital</v>
      </c>
      <c r="E50" s="663" t="s">
        <v>63</v>
      </c>
      <c r="F50" s="664">
        <f>'Non-State'!BG60</f>
        <v>0</v>
      </c>
      <c r="G50" s="664">
        <f>'Non-State'!BH60</f>
        <v>0</v>
      </c>
      <c r="H50" s="664">
        <f>'Non-State'!BJ60</f>
        <v>2095327.6</v>
      </c>
      <c r="I50" s="664">
        <f>'Non-State'!BO60</f>
        <v>0</v>
      </c>
      <c r="J50" s="664">
        <f>'Non-State'!BL60</f>
        <v>2095327.6</v>
      </c>
      <c r="K50" s="664">
        <f>'Non-State'!BR60</f>
        <v>0</v>
      </c>
      <c r="L50" s="664">
        <f>'Non-State'!CH60</f>
        <v>2095327.6</v>
      </c>
      <c r="M50" s="664">
        <f>'Non-State'!CB60</f>
        <v>0</v>
      </c>
    </row>
    <row r="51" spans="2:13" x14ac:dyDescent="0.25">
      <c r="B51" s="661" t="str">
        <f>'Non-State'!C61</f>
        <v>119874904</v>
      </c>
      <c r="C51" s="661" t="str">
        <f>'Non-State'!D61</f>
        <v>119874904</v>
      </c>
      <c r="D51" s="662" t="str">
        <f>'Non-State'!F61</f>
        <v>Faith Community Hospital</v>
      </c>
      <c r="E51" s="663" t="s">
        <v>63</v>
      </c>
      <c r="F51" s="664">
        <f>'Non-State'!BG61</f>
        <v>0</v>
      </c>
      <c r="G51" s="664">
        <f>'Non-State'!BH61</f>
        <v>0</v>
      </c>
      <c r="H51" s="664">
        <f>'Non-State'!BJ61</f>
        <v>1665322.08</v>
      </c>
      <c r="I51" s="664">
        <f>'Non-State'!BO61</f>
        <v>585027.65</v>
      </c>
      <c r="J51" s="664">
        <f>'Non-State'!BL61</f>
        <v>1665322.08</v>
      </c>
      <c r="K51" s="664">
        <f>'Non-State'!BR61</f>
        <v>585027.65</v>
      </c>
      <c r="L51" s="664">
        <f>'Non-State'!CH61</f>
        <v>1665322.08</v>
      </c>
      <c r="M51" s="664">
        <f>'Non-State'!CB61</f>
        <v>0</v>
      </c>
    </row>
    <row r="52" spans="2:13" x14ac:dyDescent="0.25">
      <c r="B52" s="661" t="str">
        <f>'Non-State'!C62</f>
        <v>119877204</v>
      </c>
      <c r="C52" s="661" t="str">
        <f>'Non-State'!D62</f>
        <v>119877204</v>
      </c>
      <c r="D52" s="662" t="str">
        <f>'Non-State'!F62</f>
        <v>Val Verde Regional Medical Center</v>
      </c>
      <c r="E52" s="663" t="s">
        <v>63</v>
      </c>
      <c r="F52" s="664">
        <f>'Non-State'!BG62</f>
        <v>0</v>
      </c>
      <c r="G52" s="664">
        <f>'Non-State'!BH62</f>
        <v>0</v>
      </c>
      <c r="H52" s="664">
        <f>'Non-State'!BJ62</f>
        <v>5140453.71</v>
      </c>
      <c r="I52" s="664">
        <f>'Non-State'!BO62</f>
        <v>1805841.39</v>
      </c>
      <c r="J52" s="664">
        <f>'Non-State'!BL62</f>
        <v>5140453.71</v>
      </c>
      <c r="K52" s="664">
        <f>'Non-State'!BR62</f>
        <v>1805841.39</v>
      </c>
      <c r="L52" s="664">
        <f>'Non-State'!CH62</f>
        <v>5140453.71</v>
      </c>
      <c r="M52" s="664">
        <f>'Non-State'!CB62</f>
        <v>0</v>
      </c>
    </row>
    <row r="53" spans="2:13" x14ac:dyDescent="0.25">
      <c r="B53" s="661" t="str">
        <f>'Non-State'!C63</f>
        <v>121775403</v>
      </c>
      <c r="C53" s="661" t="str">
        <f>'Non-State'!D63</f>
        <v>121775403</v>
      </c>
      <c r="D53" s="662" t="str">
        <f>'Non-State'!F63</f>
        <v>Christus Spohn Hospital Corpus Christi</v>
      </c>
      <c r="E53" s="663" t="s">
        <v>63</v>
      </c>
      <c r="F53" s="664">
        <f>'Non-State'!BG63</f>
        <v>0</v>
      </c>
      <c r="G53" s="664">
        <f>'Non-State'!BH63</f>
        <v>0</v>
      </c>
      <c r="H53" s="664">
        <f>'Non-State'!BJ63</f>
        <v>47907943.560000002</v>
      </c>
      <c r="I53" s="664">
        <f>'Non-State'!BO63</f>
        <v>0</v>
      </c>
      <c r="J53" s="664">
        <f>'Non-State'!BL63</f>
        <v>47907943.560000002</v>
      </c>
      <c r="K53" s="664">
        <f>'Non-State'!BR63</f>
        <v>0</v>
      </c>
      <c r="L53" s="664">
        <f>'Non-State'!CH63</f>
        <v>47907943.560000002</v>
      </c>
      <c r="M53" s="664">
        <f>'Non-State'!CB63</f>
        <v>0</v>
      </c>
    </row>
    <row r="54" spans="2:13" x14ac:dyDescent="0.25">
      <c r="B54" s="661" t="str">
        <f>'Non-State'!C64</f>
        <v>121782009</v>
      </c>
      <c r="C54" s="661" t="str">
        <f>'Non-State'!D64</f>
        <v>121782009</v>
      </c>
      <c r="D54" s="662" t="str">
        <f>'Non-State'!F64</f>
        <v>Uvalde Memorial Hospital</v>
      </c>
      <c r="E54" s="663" t="s">
        <v>63</v>
      </c>
      <c r="F54" s="664">
        <f>'Non-State'!BG64</f>
        <v>0</v>
      </c>
      <c r="G54" s="664">
        <f>'Non-State'!BH64</f>
        <v>0</v>
      </c>
      <c r="H54" s="664">
        <f>'Non-State'!BJ64</f>
        <v>5693558.3799999999</v>
      </c>
      <c r="I54" s="664">
        <f>'Non-State'!BO64</f>
        <v>2000147.06</v>
      </c>
      <c r="J54" s="664">
        <f>'Non-State'!BL64</f>
        <v>5693558.3799999999</v>
      </c>
      <c r="K54" s="664">
        <f>'Non-State'!BR64</f>
        <v>2000147.06</v>
      </c>
      <c r="L54" s="664">
        <f>'Non-State'!CH64</f>
        <v>5693558.3799999999</v>
      </c>
      <c r="M54" s="664">
        <f>'Non-State'!CB64</f>
        <v>0</v>
      </c>
    </row>
    <row r="55" spans="2:13" x14ac:dyDescent="0.25">
      <c r="B55" s="661" t="str">
        <f>'Non-State'!C65</f>
        <v>121785303</v>
      </c>
      <c r="C55" s="661" t="str">
        <f>'Non-State'!D65</f>
        <v>121785303</v>
      </c>
      <c r="D55" s="662" t="str">
        <f>'Non-State'!F65</f>
        <v>Gonzales Healthcare Systems</v>
      </c>
      <c r="E55" s="663" t="s">
        <v>63</v>
      </c>
      <c r="F55" s="664">
        <f>'Non-State'!BG65</f>
        <v>0</v>
      </c>
      <c r="G55" s="664">
        <f>'Non-State'!BH65</f>
        <v>0</v>
      </c>
      <c r="H55" s="664">
        <f>'Non-State'!BJ65</f>
        <v>3608802.23</v>
      </c>
      <c r="I55" s="664">
        <f>'Non-State'!BO65</f>
        <v>1267772.22</v>
      </c>
      <c r="J55" s="664">
        <f>'Non-State'!BL65</f>
        <v>3608802.23</v>
      </c>
      <c r="K55" s="664">
        <f>'Non-State'!BR65</f>
        <v>1267772.22</v>
      </c>
      <c r="L55" s="664">
        <f>'Non-State'!CH65</f>
        <v>3608802.23</v>
      </c>
      <c r="M55" s="664">
        <f>'Non-State'!CB65</f>
        <v>0</v>
      </c>
    </row>
    <row r="56" spans="2:13" x14ac:dyDescent="0.25">
      <c r="B56" s="661" t="str">
        <f>'Non-State'!C66</f>
        <v>121807504</v>
      </c>
      <c r="C56" s="661" t="str">
        <f>'Non-State'!D66</f>
        <v>121807504</v>
      </c>
      <c r="D56" s="662" t="str">
        <f>'Non-State'!F66</f>
        <v>HCA Houston Healthcare Clear Lake</v>
      </c>
      <c r="E56" s="663" t="s">
        <v>63</v>
      </c>
      <c r="F56" s="664">
        <f>'Non-State'!BG66</f>
        <v>0</v>
      </c>
      <c r="G56" s="664">
        <f>'Non-State'!BH66</f>
        <v>0</v>
      </c>
      <c r="H56" s="664">
        <f>'Non-State'!BJ66</f>
        <v>8000000</v>
      </c>
      <c r="I56" s="664">
        <f>'Non-State'!BO66</f>
        <v>0</v>
      </c>
      <c r="J56" s="664">
        <f>'Non-State'!BL66</f>
        <v>8000000</v>
      </c>
      <c r="K56" s="664">
        <f>'Non-State'!BR66</f>
        <v>0</v>
      </c>
      <c r="L56" s="664">
        <f>'Non-State'!CH66</f>
        <v>8000000</v>
      </c>
      <c r="M56" s="664">
        <f>'Non-State'!CB66</f>
        <v>0</v>
      </c>
    </row>
    <row r="57" spans="2:13" x14ac:dyDescent="0.25">
      <c r="B57" s="661" t="str">
        <f>'Non-State'!C67</f>
        <v>121816602</v>
      </c>
      <c r="C57" s="661" t="str">
        <f>'Non-State'!D67</f>
        <v>121816602</v>
      </c>
      <c r="D57" s="662" t="str">
        <f>'Non-State'!F67</f>
        <v>Palestine Regional Medical Center</v>
      </c>
      <c r="E57" s="663" t="s">
        <v>63</v>
      </c>
      <c r="F57" s="664">
        <f>'Non-State'!BG67</f>
        <v>0</v>
      </c>
      <c r="G57" s="664">
        <f>'Non-State'!BH67</f>
        <v>0</v>
      </c>
      <c r="H57" s="664">
        <f>'Non-State'!BJ67</f>
        <v>6000000</v>
      </c>
      <c r="I57" s="664">
        <f>'Non-State'!BO67</f>
        <v>0</v>
      </c>
      <c r="J57" s="664">
        <f>'Non-State'!BL67</f>
        <v>6000000</v>
      </c>
      <c r="K57" s="664">
        <f>'Non-State'!BR67</f>
        <v>0</v>
      </c>
      <c r="L57" s="664">
        <f>'Non-State'!CH67</f>
        <v>7681615.71</v>
      </c>
      <c r="M57" s="664">
        <f>'Non-State'!CB67</f>
        <v>0</v>
      </c>
    </row>
    <row r="58" spans="2:13" x14ac:dyDescent="0.25">
      <c r="B58" s="661" t="str">
        <f>'Non-State'!C68</f>
        <v>121829905</v>
      </c>
      <c r="C58" s="661" t="str">
        <f>'Non-State'!D68</f>
        <v>121829905</v>
      </c>
      <c r="D58" s="662" t="str">
        <f>'Non-State'!F68</f>
        <v xml:space="preserve">West Oak Hospital Inc </v>
      </c>
      <c r="E58" s="663" t="s">
        <v>63</v>
      </c>
      <c r="F58" s="664">
        <f>'Non-State'!BG68</f>
        <v>0</v>
      </c>
      <c r="G58" s="664">
        <f>'Non-State'!BH68</f>
        <v>0</v>
      </c>
      <c r="H58" s="664">
        <f>'Non-State'!BJ68</f>
        <v>189833.93</v>
      </c>
      <c r="I58" s="664">
        <f>'Non-State'!BO68</f>
        <v>0</v>
      </c>
      <c r="J58" s="664">
        <f>'Non-State'!BL68</f>
        <v>189833.93</v>
      </c>
      <c r="K58" s="664">
        <f>'Non-State'!BR68</f>
        <v>0</v>
      </c>
      <c r="L58" s="664">
        <f>'Non-State'!CH68</f>
        <v>189833.93</v>
      </c>
      <c r="M58" s="664">
        <f>'Non-State'!CB68</f>
        <v>0</v>
      </c>
    </row>
    <row r="59" spans="2:13" x14ac:dyDescent="0.25">
      <c r="B59" s="661" t="str">
        <f>'Non-State'!C69</f>
        <v>126675104</v>
      </c>
      <c r="C59" s="661" t="str">
        <f>'Non-State'!D69</f>
        <v>126675104</v>
      </c>
      <c r="D59" s="662" t="str">
        <f>'Non-State'!F69</f>
        <v>Jps Health Network</v>
      </c>
      <c r="E59" s="663" t="s">
        <v>63</v>
      </c>
      <c r="F59" s="664">
        <f>'Non-State'!BG69</f>
        <v>0</v>
      </c>
      <c r="G59" s="664">
        <f>'Non-State'!BH69</f>
        <v>0</v>
      </c>
      <c r="H59" s="664">
        <f>'Non-State'!BJ69</f>
        <v>222755349.63</v>
      </c>
      <c r="I59" s="664">
        <f>'Non-State'!BO69</f>
        <v>125555712.11</v>
      </c>
      <c r="J59" s="664">
        <f>'Non-State'!BL69</f>
        <v>222755349.63</v>
      </c>
      <c r="K59" s="664">
        <f>'Non-State'!BR69</f>
        <v>125555712.11</v>
      </c>
      <c r="L59" s="664">
        <f>'Non-State'!CH69</f>
        <v>224528485.0479621</v>
      </c>
      <c r="M59" s="664">
        <f>'Non-State'!CB69</f>
        <v>0</v>
      </c>
    </row>
    <row r="60" spans="2:13" ht="15.95" customHeight="1" x14ac:dyDescent="0.25">
      <c r="B60" s="661" t="str">
        <f>'Non-State'!C70</f>
        <v>127263503</v>
      </c>
      <c r="C60" s="661" t="str">
        <f>'Non-State'!D70</f>
        <v>127263503</v>
      </c>
      <c r="D60" s="662" t="str">
        <f>'Non-State'!F70</f>
        <v>Covenant Hospital Plainview</v>
      </c>
      <c r="E60" s="663" t="s">
        <v>63</v>
      </c>
      <c r="F60" s="664">
        <f>'Non-State'!BG70</f>
        <v>0</v>
      </c>
      <c r="G60" s="664">
        <f>'Non-State'!BH70</f>
        <v>0</v>
      </c>
      <c r="H60" s="664">
        <f>'Non-State'!BJ70</f>
        <v>1070099.74</v>
      </c>
      <c r="I60" s="664">
        <f>'Non-State'!BO70</f>
        <v>0</v>
      </c>
      <c r="J60" s="664">
        <f>'Non-State'!BL70</f>
        <v>1070099.74</v>
      </c>
      <c r="K60" s="664">
        <f>'Non-State'!BR70</f>
        <v>0</v>
      </c>
      <c r="L60" s="664">
        <f>'Non-State'!CH70</f>
        <v>1349406.3399999999</v>
      </c>
      <c r="M60" s="664">
        <f>'Non-State'!CB70</f>
        <v>0</v>
      </c>
    </row>
    <row r="61" spans="2:13" x14ac:dyDescent="0.25">
      <c r="B61" s="661" t="str">
        <f>'Non-State'!C71</f>
        <v>127267603</v>
      </c>
      <c r="C61" s="661" t="str">
        <f>'Non-State'!D71</f>
        <v>127267603</v>
      </c>
      <c r="D61" s="662" t="str">
        <f>'Non-State'!F71</f>
        <v>Chi St. Joseph Health Regional Hospital</v>
      </c>
      <c r="E61" s="663" t="s">
        <v>63</v>
      </c>
      <c r="F61" s="664">
        <f>'Non-State'!BG71</f>
        <v>0</v>
      </c>
      <c r="G61" s="664">
        <f>'Non-State'!BH71</f>
        <v>0</v>
      </c>
      <c r="H61" s="664">
        <f>'Non-State'!BJ71</f>
        <v>8000000</v>
      </c>
      <c r="I61" s="664">
        <f>'Non-State'!BO71</f>
        <v>0</v>
      </c>
      <c r="J61" s="664">
        <f>'Non-State'!BL71</f>
        <v>8000000</v>
      </c>
      <c r="K61" s="664">
        <f>'Non-State'!BR71</f>
        <v>0</v>
      </c>
      <c r="L61" s="664">
        <f>'Non-State'!CH71</f>
        <v>8000000</v>
      </c>
      <c r="M61" s="664">
        <f>'Non-State'!CB71</f>
        <v>0</v>
      </c>
    </row>
    <row r="62" spans="2:13" x14ac:dyDescent="0.25">
      <c r="B62" s="661" t="str">
        <f>'Non-State'!C72</f>
        <v>127295703</v>
      </c>
      <c r="C62" s="661" t="str">
        <f>'Non-State'!D72</f>
        <v>127295703</v>
      </c>
      <c r="D62" s="662" t="str">
        <f>'Non-State'!F72</f>
        <v>Parkland Health And Hospital System</v>
      </c>
      <c r="E62" s="663" t="s">
        <v>63</v>
      </c>
      <c r="F62" s="664">
        <f>'Non-State'!BG72</f>
        <v>0</v>
      </c>
      <c r="G62" s="664">
        <f>'Non-State'!BH72</f>
        <v>0</v>
      </c>
      <c r="H62" s="664">
        <f>'Non-State'!BJ72</f>
        <v>318173934.63</v>
      </c>
      <c r="I62" s="664">
        <f>'Non-State'!BO72</f>
        <v>194713141.66</v>
      </c>
      <c r="J62" s="664">
        <f>'Non-State'!BL72</f>
        <v>318173934.63</v>
      </c>
      <c r="K62" s="664">
        <f>'Non-State'!BR72</f>
        <v>194713141.66</v>
      </c>
      <c r="L62" s="664">
        <f>'Non-State'!CH72</f>
        <v>321282940.38793713</v>
      </c>
      <c r="M62" s="664">
        <f>'Non-State'!CB72</f>
        <v>0</v>
      </c>
    </row>
    <row r="63" spans="2:13" x14ac:dyDescent="0.25">
      <c r="B63" s="661" t="str">
        <f>'Non-State'!C73</f>
        <v>127298107</v>
      </c>
      <c r="C63" s="661" t="str">
        <f>'Non-State'!D73</f>
        <v>127298107</v>
      </c>
      <c r="D63" s="662" t="str">
        <f>'Non-State'!F73</f>
        <v>Permian Regional Medical Center</v>
      </c>
      <c r="E63" s="663" t="s">
        <v>63</v>
      </c>
      <c r="F63" s="664">
        <f>'Non-State'!BG73</f>
        <v>0</v>
      </c>
      <c r="G63" s="664">
        <f>'Non-State'!BH73</f>
        <v>0</v>
      </c>
      <c r="H63" s="664">
        <f>'Non-State'!BJ73</f>
        <v>4799271.37</v>
      </c>
      <c r="I63" s="664">
        <f>'Non-State'!BO73</f>
        <v>1685984.03</v>
      </c>
      <c r="J63" s="664">
        <f>'Non-State'!BL73</f>
        <v>4799271.37</v>
      </c>
      <c r="K63" s="664">
        <f>'Non-State'!BR73</f>
        <v>1685984.03</v>
      </c>
      <c r="L63" s="664">
        <f>'Non-State'!CH73</f>
        <v>4799271.37</v>
      </c>
      <c r="M63" s="664">
        <f>'Non-State'!CB73</f>
        <v>0</v>
      </c>
    </row>
    <row r="64" spans="2:13" x14ac:dyDescent="0.25">
      <c r="B64" s="661" t="str">
        <f>'Non-State'!C74</f>
        <v>127303903</v>
      </c>
      <c r="C64" s="661" t="str">
        <f>'Non-State'!D74</f>
        <v>127303903</v>
      </c>
      <c r="D64" s="662" t="str">
        <f>'Non-State'!F74</f>
        <v>Oakbend Medical Center</v>
      </c>
      <c r="E64" s="663" t="s">
        <v>63</v>
      </c>
      <c r="F64" s="664">
        <f>'Non-State'!BG74</f>
        <v>0</v>
      </c>
      <c r="G64" s="664">
        <f>'Non-State'!BH74</f>
        <v>0</v>
      </c>
      <c r="H64" s="664">
        <f>'Non-State'!BJ74</f>
        <v>9249267.7699999996</v>
      </c>
      <c r="I64" s="664">
        <f>'Non-State'!BO74</f>
        <v>3249267.77</v>
      </c>
      <c r="J64" s="664">
        <f>'Non-State'!BL74</f>
        <v>9249267.7699999996</v>
      </c>
      <c r="K64" s="664">
        <f>'Non-State'!BR74</f>
        <v>3249267.77</v>
      </c>
      <c r="L64" s="664">
        <f>'Non-State'!CH74</f>
        <v>9249267.7699999996</v>
      </c>
      <c r="M64" s="664">
        <f>'Non-State'!CB74</f>
        <v>0</v>
      </c>
    </row>
    <row r="65" spans="2:13" x14ac:dyDescent="0.25">
      <c r="B65" s="661" t="str">
        <f>'Non-State'!C75</f>
        <v>127313803</v>
      </c>
      <c r="C65" s="661" t="str">
        <f>'Non-State'!D75</f>
        <v>127313803</v>
      </c>
      <c r="D65" s="662" t="str">
        <f>'Non-State'!F75</f>
        <v>Lamb Healthcare Center</v>
      </c>
      <c r="E65" s="663" t="s">
        <v>63</v>
      </c>
      <c r="F65" s="664">
        <f>'Non-State'!BG75</f>
        <v>0</v>
      </c>
      <c r="G65" s="664">
        <f>'Non-State'!BH75</f>
        <v>0</v>
      </c>
      <c r="H65" s="664">
        <f>'Non-State'!BJ75</f>
        <v>1841077.36</v>
      </c>
      <c r="I65" s="664">
        <f>'Non-State'!BO75</f>
        <v>646770.48</v>
      </c>
      <c r="J65" s="664">
        <f>'Non-State'!BL75</f>
        <v>1841077.36</v>
      </c>
      <c r="K65" s="664">
        <f>'Non-State'!BR75</f>
        <v>646770.48</v>
      </c>
      <c r="L65" s="664">
        <f>'Non-State'!CH75</f>
        <v>1841077.36</v>
      </c>
      <c r="M65" s="664">
        <f>'Non-State'!CB75</f>
        <v>0</v>
      </c>
    </row>
    <row r="66" spans="2:13" x14ac:dyDescent="0.25">
      <c r="B66" s="661" t="str">
        <f>'Non-State'!C76</f>
        <v>127319504</v>
      </c>
      <c r="C66" s="661" t="str">
        <f>'Non-State'!D76</f>
        <v>127319504</v>
      </c>
      <c r="D66" s="662" t="str">
        <f>'Non-State'!F76</f>
        <v>Covenant Children'S Hospital</v>
      </c>
      <c r="E66" s="663" t="s">
        <v>63</v>
      </c>
      <c r="F66" s="664">
        <f>'Non-State'!BG76</f>
        <v>0</v>
      </c>
      <c r="G66" s="664">
        <f>'Non-State'!BH76</f>
        <v>0</v>
      </c>
      <c r="H66" s="664">
        <f>'Non-State'!BJ76</f>
        <v>5099876.04</v>
      </c>
      <c r="I66" s="664">
        <f>'Non-State'!BO76</f>
        <v>0</v>
      </c>
      <c r="J66" s="664">
        <f>'Non-State'!BL76</f>
        <v>5099876.04</v>
      </c>
      <c r="K66" s="664">
        <f>'Non-State'!BR76</f>
        <v>0</v>
      </c>
      <c r="L66" s="664">
        <f>'Non-State'!CH76</f>
        <v>5099876.04</v>
      </c>
      <c r="M66" s="664">
        <f>'Non-State'!CB76</f>
        <v>0</v>
      </c>
    </row>
    <row r="67" spans="2:13" x14ac:dyDescent="0.25">
      <c r="B67" s="661" t="str">
        <f>'Non-State'!C77</f>
        <v>130605205</v>
      </c>
      <c r="C67" s="661" t="str">
        <f>'Non-State'!D77</f>
        <v>130605205</v>
      </c>
      <c r="D67" s="662" t="str">
        <f>'Non-State'!F77</f>
        <v>Nacogdoches Medical Center</v>
      </c>
      <c r="E67" s="663" t="s">
        <v>63</v>
      </c>
      <c r="F67" s="664">
        <f>'Non-State'!BG77</f>
        <v>0</v>
      </c>
      <c r="G67" s="664">
        <f>'Non-State'!BH77</f>
        <v>0</v>
      </c>
      <c r="H67" s="664">
        <f>'Non-State'!BJ77</f>
        <v>269363.89</v>
      </c>
      <c r="I67" s="664">
        <f>'Non-State'!BO77</f>
        <v>0</v>
      </c>
      <c r="J67" s="664">
        <f>'Non-State'!BL77</f>
        <v>269363.89</v>
      </c>
      <c r="K67" s="664">
        <f>'Non-State'!BR77</f>
        <v>0</v>
      </c>
      <c r="L67" s="664">
        <f>'Non-State'!CH77</f>
        <v>339670.53</v>
      </c>
      <c r="M67" s="664">
        <f>'Non-State'!CB77</f>
        <v>0</v>
      </c>
    </row>
    <row r="68" spans="2:13" x14ac:dyDescent="0.25">
      <c r="B68" s="661" t="str">
        <f>'Non-State'!C78</f>
        <v>130616909</v>
      </c>
      <c r="C68" s="661" t="str">
        <f>'Non-State'!D78</f>
        <v>130616909</v>
      </c>
      <c r="D68" s="662" t="str">
        <f>'Non-State'!F78</f>
        <v>Pecos County Memorial Hospital</v>
      </c>
      <c r="E68" s="663" t="s">
        <v>63</v>
      </c>
      <c r="F68" s="664">
        <f>'Non-State'!BG78</f>
        <v>0</v>
      </c>
      <c r="G68" s="664">
        <f>'Non-State'!BH78</f>
        <v>0</v>
      </c>
      <c r="H68" s="664">
        <f>'Non-State'!BJ78</f>
        <v>3193843.13</v>
      </c>
      <c r="I68" s="664">
        <f>'Non-State'!BO78</f>
        <v>1121997.0900000001</v>
      </c>
      <c r="J68" s="664">
        <f>'Non-State'!BL78</f>
        <v>3193843.13</v>
      </c>
      <c r="K68" s="664">
        <f>'Non-State'!BR78</f>
        <v>1121997.0900000001</v>
      </c>
      <c r="L68" s="664">
        <f>'Non-State'!CH78</f>
        <v>3193843.13</v>
      </c>
      <c r="M68" s="664">
        <f>'Non-State'!CB78</f>
        <v>0</v>
      </c>
    </row>
    <row r="69" spans="2:13" x14ac:dyDescent="0.25">
      <c r="B69" s="661" t="str">
        <f>'Non-State'!C79</f>
        <v>130618504</v>
      </c>
      <c r="C69" s="661" t="str">
        <f>'Non-State'!D79</f>
        <v>130618504</v>
      </c>
      <c r="D69" s="662" t="str">
        <f>'Non-State'!F79</f>
        <v>Terry Memorial Hospital District</v>
      </c>
      <c r="E69" s="663" t="s">
        <v>63</v>
      </c>
      <c r="F69" s="664">
        <f>'Non-State'!BG79</f>
        <v>0</v>
      </c>
      <c r="G69" s="664">
        <f>'Non-State'!BH79</f>
        <v>0</v>
      </c>
      <c r="H69" s="664">
        <f>'Non-State'!BJ79</f>
        <v>2319069.63</v>
      </c>
      <c r="I69" s="664">
        <f>'Non-State'!BO79</f>
        <v>814689.16</v>
      </c>
      <c r="J69" s="664">
        <f>'Non-State'!BL79</f>
        <v>2319069.63</v>
      </c>
      <c r="K69" s="664">
        <f>'Non-State'!BR79</f>
        <v>814689.16</v>
      </c>
      <c r="L69" s="664">
        <f>'Non-State'!CH79</f>
        <v>2319069.63</v>
      </c>
      <c r="M69" s="664">
        <f>'Non-State'!CB79</f>
        <v>0</v>
      </c>
    </row>
    <row r="70" spans="2:13" x14ac:dyDescent="0.25">
      <c r="B70" s="661" t="str">
        <f>'Non-State'!C80</f>
        <v>130826407</v>
      </c>
      <c r="C70" s="661" t="str">
        <f>'Non-State'!D80</f>
        <v>130826407</v>
      </c>
      <c r="D70" s="662" t="str">
        <f>'Non-State'!F80</f>
        <v>Coon Memorial Hospital</v>
      </c>
      <c r="E70" s="663" t="s">
        <v>63</v>
      </c>
      <c r="F70" s="664">
        <f>'Non-State'!BG80</f>
        <v>0</v>
      </c>
      <c r="G70" s="664">
        <f>'Non-State'!BH80</f>
        <v>0</v>
      </c>
      <c r="H70" s="664">
        <f>'Non-State'!BJ80</f>
        <v>1687684.34</v>
      </c>
      <c r="I70" s="664">
        <f>'Non-State'!BO80</f>
        <v>592883.51</v>
      </c>
      <c r="J70" s="664">
        <f>'Non-State'!BL80</f>
        <v>1687684.34</v>
      </c>
      <c r="K70" s="664">
        <f>'Non-State'!BR80</f>
        <v>592883.51</v>
      </c>
      <c r="L70" s="664">
        <f>'Non-State'!CH80</f>
        <v>1687684.34</v>
      </c>
      <c r="M70" s="664">
        <f>'Non-State'!CB80</f>
        <v>0</v>
      </c>
    </row>
    <row r="71" spans="2:13" x14ac:dyDescent="0.25">
      <c r="B71" s="661" t="str">
        <f>'Non-State'!C81</f>
        <v>130959304</v>
      </c>
      <c r="C71" s="661" t="str">
        <f>'Non-State'!D81</f>
        <v>130959304</v>
      </c>
      <c r="D71" s="662" t="str">
        <f>'Non-State'!F81</f>
        <v>Matagorda Regional Medical Center</v>
      </c>
      <c r="E71" s="663" t="s">
        <v>63</v>
      </c>
      <c r="F71" s="664">
        <f>'Non-State'!BG81</f>
        <v>0</v>
      </c>
      <c r="G71" s="664">
        <f>'Non-State'!BH81</f>
        <v>0</v>
      </c>
      <c r="H71" s="664">
        <f>'Non-State'!BJ81</f>
        <v>7116849.4000000004</v>
      </c>
      <c r="I71" s="664">
        <f>'Non-State'!BO81</f>
        <v>2500149.2000000002</v>
      </c>
      <c r="J71" s="664">
        <f>'Non-State'!BL81</f>
        <v>7116849.4000000004</v>
      </c>
      <c r="K71" s="664">
        <f>'Non-State'!BR81</f>
        <v>2500149.19</v>
      </c>
      <c r="L71" s="664">
        <f>'Non-State'!CH81</f>
        <v>7116849.4000000004</v>
      </c>
      <c r="M71" s="664">
        <f>'Non-State'!CB81</f>
        <v>0</v>
      </c>
    </row>
    <row r="72" spans="2:13" x14ac:dyDescent="0.25">
      <c r="B72" s="661" t="str">
        <f>'Non-State'!C82</f>
        <v>437483702</v>
      </c>
      <c r="C72" s="661" t="str">
        <f>'Non-State'!D82</f>
        <v>437483702</v>
      </c>
      <c r="D72" s="662" t="str">
        <f>'Non-State'!F82</f>
        <v>Nacogdoches Memorial Hospital</v>
      </c>
      <c r="E72" s="663" t="s">
        <v>63</v>
      </c>
      <c r="F72" s="664">
        <f>'Non-State'!BG82</f>
        <v>0</v>
      </c>
      <c r="G72" s="664">
        <f>'Non-State'!BH82</f>
        <v>0</v>
      </c>
      <c r="H72" s="664">
        <f>'Non-State'!BJ82</f>
        <v>5599824.1200000001</v>
      </c>
      <c r="I72" s="664">
        <f>'Non-State'!BO82</f>
        <v>0</v>
      </c>
      <c r="J72" s="664">
        <f>'Non-State'!BL82</f>
        <v>5599824.1200000001</v>
      </c>
      <c r="K72" s="664">
        <f>'Non-State'!BR82</f>
        <v>0</v>
      </c>
      <c r="L72" s="664">
        <f>'Non-State'!CH82</f>
        <v>7061433.5</v>
      </c>
      <c r="M72" s="664">
        <f>'Non-State'!CB82</f>
        <v>0</v>
      </c>
    </row>
    <row r="73" spans="2:13" x14ac:dyDescent="0.25">
      <c r="B73" s="661" t="str">
        <f>'Non-State'!C83</f>
        <v>131038504</v>
      </c>
      <c r="C73" s="661" t="str">
        <f>'Non-State'!D83</f>
        <v>131038504</v>
      </c>
      <c r="D73" s="662" t="str">
        <f>'Non-State'!F83</f>
        <v>Hunt Memorial Hospital District</v>
      </c>
      <c r="E73" s="663" t="s">
        <v>63</v>
      </c>
      <c r="F73" s="664">
        <f>'Non-State'!BG83</f>
        <v>0</v>
      </c>
      <c r="G73" s="664">
        <f>'Non-State'!BH83</f>
        <v>0</v>
      </c>
      <c r="H73" s="664">
        <f>'Non-State'!BJ83</f>
        <v>12332357.02</v>
      </c>
      <c r="I73" s="664">
        <f>'Non-State'!BO83</f>
        <v>4332357.0199999996</v>
      </c>
      <c r="J73" s="664">
        <f>'Non-State'!BL83</f>
        <v>12332357.02</v>
      </c>
      <c r="K73" s="664">
        <f>'Non-State'!BR83</f>
        <v>4332357.0199999996</v>
      </c>
      <c r="L73" s="664">
        <f>'Non-State'!CH83</f>
        <v>12332357.02</v>
      </c>
      <c r="M73" s="664">
        <f>'Non-State'!CB83</f>
        <v>0</v>
      </c>
    </row>
    <row r="74" spans="2:13" x14ac:dyDescent="0.25">
      <c r="B74" s="661" t="str">
        <f>'Non-State'!C84</f>
        <v>133244705</v>
      </c>
      <c r="C74" s="661" t="str">
        <f>'Non-State'!D84</f>
        <v>133244705</v>
      </c>
      <c r="D74" s="662" t="str">
        <f>'Non-State'!F84</f>
        <v>Rolling Plains Memorial Hospital</v>
      </c>
      <c r="E74" s="663" t="s">
        <v>63</v>
      </c>
      <c r="F74" s="664">
        <f>'Non-State'!BG84</f>
        <v>0</v>
      </c>
      <c r="G74" s="664">
        <f>'Non-State'!BH84</f>
        <v>0</v>
      </c>
      <c r="H74" s="664">
        <f>'Non-State'!BJ84</f>
        <v>4661089.63</v>
      </c>
      <c r="I74" s="664">
        <f>'Non-State'!BO84</f>
        <v>1637440.79</v>
      </c>
      <c r="J74" s="664">
        <f>'Non-State'!BL84</f>
        <v>4661089.63</v>
      </c>
      <c r="K74" s="664">
        <f>'Non-State'!BR84</f>
        <v>1637440.79</v>
      </c>
      <c r="L74" s="664">
        <f>'Non-State'!CH84</f>
        <v>4661089.63</v>
      </c>
      <c r="M74" s="664">
        <f>'Non-State'!CB84</f>
        <v>0</v>
      </c>
    </row>
    <row r="75" spans="2:13" x14ac:dyDescent="0.25">
      <c r="B75" s="661" t="str">
        <f>'Non-State'!C85</f>
        <v>133250406</v>
      </c>
      <c r="C75" s="661" t="str">
        <f>'Non-State'!D85</f>
        <v>133250406</v>
      </c>
      <c r="D75" s="662" t="str">
        <f>'Non-State'!F85</f>
        <v>Childress Regional Medical Center</v>
      </c>
      <c r="E75" s="663" t="s">
        <v>63</v>
      </c>
      <c r="F75" s="664">
        <f>'Non-State'!BG85</f>
        <v>0</v>
      </c>
      <c r="G75" s="664">
        <f>'Non-State'!BH85</f>
        <v>0</v>
      </c>
      <c r="H75" s="664">
        <f>'Non-State'!BJ85</f>
        <v>1269896.58</v>
      </c>
      <c r="I75" s="664">
        <f>'Non-State'!BO85</f>
        <v>446114.67</v>
      </c>
      <c r="J75" s="664">
        <f>'Non-State'!BL85</f>
        <v>1269896.58</v>
      </c>
      <c r="K75" s="664">
        <f>'Non-State'!BR85</f>
        <v>446114.67</v>
      </c>
      <c r="L75" s="664">
        <f>'Non-State'!CH85</f>
        <v>1269896.58</v>
      </c>
      <c r="M75" s="664">
        <f>'Non-State'!CB85</f>
        <v>0</v>
      </c>
    </row>
    <row r="76" spans="2:13" x14ac:dyDescent="0.25">
      <c r="B76" s="661" t="str">
        <f>'Non-State'!C86</f>
        <v>133252009</v>
      </c>
      <c r="C76" s="661" t="str">
        <f>'Non-State'!D86</f>
        <v>133252009</v>
      </c>
      <c r="D76" s="662" t="str">
        <f>'Non-State'!F86</f>
        <v>Hill Regional Hospital</v>
      </c>
      <c r="E76" s="663" t="s">
        <v>63</v>
      </c>
      <c r="F76" s="664">
        <f>'Non-State'!BG86</f>
        <v>0</v>
      </c>
      <c r="G76" s="664">
        <f>'Non-State'!BH86</f>
        <v>0</v>
      </c>
      <c r="H76" s="664">
        <f>'Non-State'!BJ86</f>
        <v>2853432.43</v>
      </c>
      <c r="I76" s="664">
        <f>'Non-State'!BO86</f>
        <v>0</v>
      </c>
      <c r="J76" s="664">
        <f>'Non-State'!BL86</f>
        <v>2853432.43</v>
      </c>
      <c r="K76" s="664">
        <f>'Non-State'!BR86</f>
        <v>0</v>
      </c>
      <c r="L76" s="664">
        <f>'Non-State'!CH86</f>
        <v>3598206.47</v>
      </c>
      <c r="M76" s="664">
        <f>'Non-State'!CB86</f>
        <v>0</v>
      </c>
    </row>
    <row r="77" spans="2:13" x14ac:dyDescent="0.25">
      <c r="B77" s="661" t="str">
        <f>'Non-State'!C87</f>
        <v>133258705</v>
      </c>
      <c r="C77" s="661" t="str">
        <f>'Non-State'!D87</f>
        <v>133258705</v>
      </c>
      <c r="D77" s="662" t="str">
        <f>'Non-State'!F87</f>
        <v>Coventant Hospital Levelland</v>
      </c>
      <c r="E77" s="663" t="s">
        <v>63</v>
      </c>
      <c r="F77" s="664">
        <f>'Non-State'!BG87</f>
        <v>0</v>
      </c>
      <c r="G77" s="664">
        <f>'Non-State'!BH87</f>
        <v>0</v>
      </c>
      <c r="H77" s="664">
        <f>'Non-State'!BJ87</f>
        <v>764976.68</v>
      </c>
      <c r="I77" s="664">
        <f>'Non-State'!BO87</f>
        <v>0</v>
      </c>
      <c r="J77" s="664">
        <f>'Non-State'!BL87</f>
        <v>764976.68</v>
      </c>
      <c r="K77" s="664">
        <f>'Non-State'!BR87</f>
        <v>0</v>
      </c>
      <c r="L77" s="664">
        <f>'Non-State'!CH87</f>
        <v>964643.14</v>
      </c>
      <c r="M77" s="664">
        <f>'Non-State'!CB87</f>
        <v>0</v>
      </c>
    </row>
    <row r="78" spans="2:13" x14ac:dyDescent="0.25">
      <c r="B78" s="661" t="str">
        <f>'Non-State'!C88</f>
        <v>133355104</v>
      </c>
      <c r="C78" s="661" t="str">
        <f>'Non-State'!D88</f>
        <v>133355104</v>
      </c>
      <c r="D78" s="662" t="str">
        <f>'Non-State'!F88</f>
        <v>Harris Health System</v>
      </c>
      <c r="E78" s="663" t="s">
        <v>63</v>
      </c>
      <c r="F78" s="664">
        <f>'Non-State'!BG88</f>
        <v>0</v>
      </c>
      <c r="G78" s="664">
        <f>'Non-State'!BH88</f>
        <v>0</v>
      </c>
      <c r="H78" s="664">
        <f>'Non-State'!BJ88</f>
        <v>76371678.549999997</v>
      </c>
      <c r="I78" s="664">
        <f>'Non-State'!BO88</f>
        <v>68371678.549999997</v>
      </c>
      <c r="J78" s="664">
        <f>'Non-State'!BL88</f>
        <v>76371678.549999997</v>
      </c>
      <c r="K78" s="664">
        <f>'Non-State'!BR88</f>
        <v>68371678.549999997</v>
      </c>
      <c r="L78" s="664">
        <f>'Non-State'!CH88</f>
        <v>77928917.453730926</v>
      </c>
      <c r="M78" s="664">
        <f>'Non-State'!CB88</f>
        <v>0</v>
      </c>
    </row>
    <row r="79" spans="2:13" x14ac:dyDescent="0.25">
      <c r="B79" s="661" t="str">
        <f>'Non-State'!C89</f>
        <v>133544006</v>
      </c>
      <c r="C79" s="661" t="str">
        <f>'Non-State'!D89</f>
        <v>133544006</v>
      </c>
      <c r="D79" s="662" t="str">
        <f>'Non-State'!F89</f>
        <v>Hereford Regional Medical Center</v>
      </c>
      <c r="E79" s="663" t="s">
        <v>63</v>
      </c>
      <c r="F79" s="664">
        <f>'Non-State'!BG89</f>
        <v>0</v>
      </c>
      <c r="G79" s="664">
        <f>'Non-State'!BH89</f>
        <v>0</v>
      </c>
      <c r="H79" s="664">
        <f>'Non-State'!BJ89</f>
        <v>3760250.83</v>
      </c>
      <c r="I79" s="664">
        <f>'Non-State'!BO89</f>
        <v>1320976.1200000001</v>
      </c>
      <c r="J79" s="664">
        <f>'Non-State'!BL89</f>
        <v>3760250.83</v>
      </c>
      <c r="K79" s="664">
        <f>'Non-State'!BR89</f>
        <v>1320976.1200000001</v>
      </c>
      <c r="L79" s="664">
        <f>'Non-State'!CH89</f>
        <v>3760250.83</v>
      </c>
      <c r="M79" s="664">
        <f>'Non-State'!CB89</f>
        <v>0</v>
      </c>
    </row>
    <row r="80" spans="2:13" x14ac:dyDescent="0.25">
      <c r="B80" s="661" t="str">
        <f>'Non-State'!C90</f>
        <v>135032405</v>
      </c>
      <c r="C80" s="661" t="str">
        <f>'Non-State'!D90</f>
        <v>135032405</v>
      </c>
      <c r="D80" s="662" t="str">
        <f>'Non-State'!F90</f>
        <v>Methodist Dallas Medical Center</v>
      </c>
      <c r="E80" s="663" t="s">
        <v>63</v>
      </c>
      <c r="F80" s="664">
        <f>'Non-State'!BG90</f>
        <v>0</v>
      </c>
      <c r="G80" s="664">
        <f>'Non-State'!BH90</f>
        <v>0</v>
      </c>
      <c r="H80" s="664">
        <f>'Non-State'!BJ90</f>
        <v>15144630.9</v>
      </c>
      <c r="I80" s="664">
        <f>'Non-State'!BO90</f>
        <v>0</v>
      </c>
      <c r="J80" s="664">
        <f>'Non-State'!BL90</f>
        <v>15144630.9</v>
      </c>
      <c r="K80" s="664">
        <f>'Non-State'!BR90</f>
        <v>0</v>
      </c>
      <c r="L80" s="664">
        <f>'Non-State'!CH90</f>
        <v>15144630.9</v>
      </c>
      <c r="M80" s="664">
        <f>'Non-State'!CB90</f>
        <v>0</v>
      </c>
    </row>
    <row r="81" spans="2:13" x14ac:dyDescent="0.25">
      <c r="B81" s="661" t="str">
        <f>'Non-State'!C91</f>
        <v>135033210</v>
      </c>
      <c r="C81" s="661" t="str">
        <f>'Non-State'!D91</f>
        <v>135033210</v>
      </c>
      <c r="D81" s="662" t="str">
        <f>'Non-State'!F91</f>
        <v>Columbus Community Hospital</v>
      </c>
      <c r="E81" s="663" t="s">
        <v>63</v>
      </c>
      <c r="F81" s="664">
        <f>'Non-State'!BG91</f>
        <v>0</v>
      </c>
      <c r="G81" s="664">
        <f>'Non-State'!BH91</f>
        <v>0</v>
      </c>
      <c r="H81" s="664">
        <f>'Non-State'!BJ91</f>
        <v>1060943.1599999999</v>
      </c>
      <c r="I81" s="664">
        <f>'Non-State'!BO91</f>
        <v>0</v>
      </c>
      <c r="J81" s="664">
        <f>'Non-State'!BL91</f>
        <v>1060943.1599999999</v>
      </c>
      <c r="K81" s="664">
        <f>'Non-State'!BR91</f>
        <v>0</v>
      </c>
      <c r="L81" s="664">
        <f>'Non-State'!CH91</f>
        <v>1337859.7999999998</v>
      </c>
      <c r="M81" s="664">
        <f>'Non-State'!CB91</f>
        <v>0</v>
      </c>
    </row>
    <row r="82" spans="2:13" x14ac:dyDescent="0.25">
      <c r="B82" s="661" t="str">
        <f>'Non-State'!C92</f>
        <v>135035706</v>
      </c>
      <c r="C82" s="661" t="str">
        <f>'Non-State'!D92</f>
        <v>135035706</v>
      </c>
      <c r="D82" s="662" t="str">
        <f>'Non-State'!F92</f>
        <v>Knapp Medical Center</v>
      </c>
      <c r="E82" s="663" t="s">
        <v>63</v>
      </c>
      <c r="F82" s="664">
        <f>'Non-State'!BG92</f>
        <v>0</v>
      </c>
      <c r="G82" s="664">
        <f>'Non-State'!BH92</f>
        <v>0</v>
      </c>
      <c r="H82" s="664">
        <f>'Non-State'!BJ92</f>
        <v>1529502</v>
      </c>
      <c r="I82" s="664">
        <f>'Non-State'!BO92</f>
        <v>0</v>
      </c>
      <c r="J82" s="664">
        <f>'Non-State'!BL92</f>
        <v>1529502</v>
      </c>
      <c r="K82" s="664">
        <f>'Non-State'!BR92</f>
        <v>0</v>
      </c>
      <c r="L82" s="664">
        <f>'Non-State'!CH92</f>
        <v>1529502</v>
      </c>
      <c r="M82" s="664">
        <f>'Non-State'!CB92</f>
        <v>0</v>
      </c>
    </row>
    <row r="83" spans="2:13" x14ac:dyDescent="0.25">
      <c r="B83" s="661" t="str">
        <f>'Non-State'!C93</f>
        <v>135036506</v>
      </c>
      <c r="C83" s="661" t="str">
        <f>'Non-State'!D93</f>
        <v>135036506</v>
      </c>
      <c r="D83" s="662" t="str">
        <f>'Non-State'!F93</f>
        <v>Baylor Scott &amp; White Medical Center - Fort Worth</v>
      </c>
      <c r="E83" s="663" t="s">
        <v>63</v>
      </c>
      <c r="F83" s="664">
        <f>'Non-State'!BG93</f>
        <v>0</v>
      </c>
      <c r="G83" s="664">
        <f>'Non-State'!BH93</f>
        <v>0</v>
      </c>
      <c r="H83" s="664">
        <f>'Non-State'!BJ93</f>
        <v>15680973.34</v>
      </c>
      <c r="I83" s="664">
        <f>'Non-State'!BO93</f>
        <v>0</v>
      </c>
      <c r="J83" s="664">
        <f>'Non-State'!BL93</f>
        <v>15680973.34</v>
      </c>
      <c r="K83" s="664">
        <f>'Non-State'!BR93</f>
        <v>0</v>
      </c>
      <c r="L83" s="664">
        <f>'Non-State'!CH93</f>
        <v>15680973.34</v>
      </c>
      <c r="M83" s="664">
        <f>'Non-State'!CB93</f>
        <v>0</v>
      </c>
    </row>
    <row r="84" spans="2:13" x14ac:dyDescent="0.25">
      <c r="B84" s="661" t="str">
        <f>'Non-State'!C94</f>
        <v>135225404</v>
      </c>
      <c r="C84" s="661" t="str">
        <f>'Non-State'!D94</f>
        <v>135225404</v>
      </c>
      <c r="D84" s="662" t="str">
        <f>'Non-State'!F94</f>
        <v>Ascension Seton Medical Center Austin</v>
      </c>
      <c r="E84" s="663" t="s">
        <v>63</v>
      </c>
      <c r="F84" s="664">
        <f>'Non-State'!BG94</f>
        <v>0</v>
      </c>
      <c r="G84" s="664">
        <f>'Non-State'!BH94</f>
        <v>0</v>
      </c>
      <c r="H84" s="664">
        <f>'Non-State'!BJ94</f>
        <v>8000000</v>
      </c>
      <c r="I84" s="664">
        <f>'Non-State'!BO94</f>
        <v>0</v>
      </c>
      <c r="J84" s="664">
        <f>'Non-State'!BL94</f>
        <v>8000000</v>
      </c>
      <c r="K84" s="664">
        <f>'Non-State'!BR94</f>
        <v>0</v>
      </c>
      <c r="L84" s="664">
        <f>'Non-State'!CH94</f>
        <v>8000000</v>
      </c>
      <c r="M84" s="664">
        <f>'Non-State'!CB94</f>
        <v>0</v>
      </c>
    </row>
    <row r="85" spans="2:13" x14ac:dyDescent="0.25">
      <c r="B85" s="661" t="str">
        <f>'Non-State'!C95</f>
        <v>135226205</v>
      </c>
      <c r="C85" s="661" t="str">
        <f>'Non-State'!D95</f>
        <v>135226205</v>
      </c>
      <c r="D85" s="662" t="str">
        <f>'Non-State'!F95</f>
        <v>Baylor Scott &amp; White Medical Center - Brenham</v>
      </c>
      <c r="E85" s="663" t="s">
        <v>63</v>
      </c>
      <c r="F85" s="664">
        <f>'Non-State'!BG95</f>
        <v>0</v>
      </c>
      <c r="G85" s="664">
        <f>'Non-State'!BH95</f>
        <v>0</v>
      </c>
      <c r="H85" s="664">
        <f>'Non-State'!BJ95</f>
        <v>683361.87</v>
      </c>
      <c r="I85" s="664">
        <f>'Non-State'!BO95</f>
        <v>0</v>
      </c>
      <c r="J85" s="664">
        <f>'Non-State'!BL95</f>
        <v>683361.87</v>
      </c>
      <c r="K85" s="664">
        <f>'Non-State'!BR95</f>
        <v>0</v>
      </c>
      <c r="L85" s="664">
        <f>'Non-State'!CH95</f>
        <v>683361.87</v>
      </c>
      <c r="M85" s="664">
        <f>'Non-State'!CB95</f>
        <v>0</v>
      </c>
    </row>
    <row r="86" spans="2:13" x14ac:dyDescent="0.25">
      <c r="B86" s="661" t="str">
        <f>'Non-State'!C96</f>
        <v>135235306</v>
      </c>
      <c r="C86" s="661" t="str">
        <f>'Non-State'!D96</f>
        <v>135235306</v>
      </c>
      <c r="D86" s="662" t="str">
        <f>'Non-State'!F96</f>
        <v>Medical Center Health System</v>
      </c>
      <c r="E86" s="663" t="s">
        <v>63</v>
      </c>
      <c r="F86" s="664">
        <f>'Non-State'!BG96</f>
        <v>0</v>
      </c>
      <c r="G86" s="664">
        <f>'Non-State'!BH96</f>
        <v>0</v>
      </c>
      <c r="H86" s="664">
        <f>'Non-State'!BJ96</f>
        <v>13106257.18</v>
      </c>
      <c r="I86" s="664">
        <f>'Non-State'!BO96</f>
        <v>4604228.1500000004</v>
      </c>
      <c r="J86" s="664">
        <f>'Non-State'!BL96</f>
        <v>13106257.18</v>
      </c>
      <c r="K86" s="664">
        <f>'Non-State'!BR96</f>
        <v>4604228.1500000004</v>
      </c>
      <c r="L86" s="664">
        <f>'Non-State'!CH96</f>
        <v>13106257.18</v>
      </c>
      <c r="M86" s="664">
        <f>'Non-State'!CB96</f>
        <v>0</v>
      </c>
    </row>
    <row r="87" spans="2:13" x14ac:dyDescent="0.25">
      <c r="B87" s="661" t="str">
        <f>'Non-State'!C97</f>
        <v>135237906</v>
      </c>
      <c r="C87" s="661" t="str">
        <f>'Non-State'!D97</f>
        <v>135237906</v>
      </c>
      <c r="D87" s="662" t="str">
        <f>'Non-State'!F97</f>
        <v>United Regional Health Care System</v>
      </c>
      <c r="E87" s="663" t="s">
        <v>63</v>
      </c>
      <c r="F87" s="664">
        <f>'Non-State'!BG97</f>
        <v>0</v>
      </c>
      <c r="G87" s="664">
        <f>'Non-State'!BH97</f>
        <v>0</v>
      </c>
      <c r="H87" s="664">
        <f>'Non-State'!BJ97</f>
        <v>6000000</v>
      </c>
      <c r="I87" s="664">
        <f>'Non-State'!BO97</f>
        <v>0</v>
      </c>
      <c r="J87" s="664">
        <f>'Non-State'!BL97</f>
        <v>6000000</v>
      </c>
      <c r="K87" s="664">
        <f>'Non-State'!BR97</f>
        <v>0</v>
      </c>
      <c r="L87" s="664">
        <f>'Non-State'!CH97</f>
        <v>6000000</v>
      </c>
      <c r="M87" s="664">
        <f>'Non-State'!CB97</f>
        <v>0</v>
      </c>
    </row>
    <row r="88" spans="2:13" x14ac:dyDescent="0.25">
      <c r="B88" s="661" t="str">
        <f>'Non-State'!C98</f>
        <v>136141205</v>
      </c>
      <c r="C88" s="661" t="str">
        <f>'Non-State'!D98</f>
        <v>136141205</v>
      </c>
      <c r="D88" s="662" t="str">
        <f>'Non-State'!F98</f>
        <v>University Health</v>
      </c>
      <c r="E88" s="663" t="s">
        <v>63</v>
      </c>
      <c r="F88" s="664">
        <f>'Non-State'!BG98</f>
        <v>0</v>
      </c>
      <c r="G88" s="664">
        <f>'Non-State'!BH98</f>
        <v>0</v>
      </c>
      <c r="H88" s="664">
        <f>'Non-State'!BJ98</f>
        <v>165292634.81999999</v>
      </c>
      <c r="I88" s="664">
        <f>'Non-State'!BO98</f>
        <v>100655364.58</v>
      </c>
      <c r="J88" s="664">
        <f>'Non-State'!BL98</f>
        <v>165292634.81999999</v>
      </c>
      <c r="K88" s="664">
        <f>'Non-State'!BR98</f>
        <v>100655364.58</v>
      </c>
      <c r="L88" s="664">
        <f>'Non-State'!CH98</f>
        <v>166889074.45752212</v>
      </c>
      <c r="M88" s="664">
        <f>'Non-State'!CB98</f>
        <v>0</v>
      </c>
    </row>
    <row r="89" spans="2:13" x14ac:dyDescent="0.25">
      <c r="B89" s="661" t="str">
        <f>'Non-State'!C99</f>
        <v>136143806</v>
      </c>
      <c r="C89" s="661" t="str">
        <f>'Non-State'!D99</f>
        <v>136143806</v>
      </c>
      <c r="D89" s="662" t="str">
        <f>'Non-State'!F99</f>
        <v>Midland Memorial Hospital</v>
      </c>
      <c r="E89" s="663" t="s">
        <v>63</v>
      </c>
      <c r="F89" s="664">
        <f>'Non-State'!BG99</f>
        <v>0</v>
      </c>
      <c r="G89" s="664">
        <f>'Non-State'!BH99</f>
        <v>0</v>
      </c>
      <c r="H89" s="664">
        <f>'Non-State'!BJ99</f>
        <v>18427758.390000001</v>
      </c>
      <c r="I89" s="664">
        <f>'Non-State'!BO99</f>
        <v>6473671.5199999996</v>
      </c>
      <c r="J89" s="664">
        <f>'Non-State'!BL99</f>
        <v>18427758.390000001</v>
      </c>
      <c r="K89" s="664">
        <f>'Non-State'!BR99</f>
        <v>6473671.5199999996</v>
      </c>
      <c r="L89" s="664">
        <f>'Non-State'!CH99</f>
        <v>18427758.390000001</v>
      </c>
      <c r="M89" s="664">
        <f>'Non-State'!CB99</f>
        <v>0</v>
      </c>
    </row>
    <row r="90" spans="2:13" x14ac:dyDescent="0.25">
      <c r="B90" s="661" t="str">
        <f>'Non-State'!C100</f>
        <v>136330112</v>
      </c>
      <c r="C90" s="661" t="str">
        <f>'Non-State'!D100</f>
        <v>136330112</v>
      </c>
      <c r="D90" s="662" t="str">
        <f>'Non-State'!F100</f>
        <v>Cogdell Memorial Hospital</v>
      </c>
      <c r="E90" s="663" t="s">
        <v>63</v>
      </c>
      <c r="F90" s="664">
        <f>'Non-State'!BG100</f>
        <v>0</v>
      </c>
      <c r="G90" s="664">
        <f>'Non-State'!BH100</f>
        <v>0</v>
      </c>
      <c r="H90" s="664">
        <f>'Non-State'!BJ100</f>
        <v>3680507.98</v>
      </c>
      <c r="I90" s="664">
        <f>'Non-State'!BO100</f>
        <v>1292962.45</v>
      </c>
      <c r="J90" s="664">
        <f>'Non-State'!BL100</f>
        <v>3680507.98</v>
      </c>
      <c r="K90" s="664">
        <f>'Non-State'!BR100</f>
        <v>1292962.45</v>
      </c>
      <c r="L90" s="664">
        <f>'Non-State'!CH100</f>
        <v>3680507.98</v>
      </c>
      <c r="M90" s="664">
        <f>'Non-State'!CB100</f>
        <v>0</v>
      </c>
    </row>
    <row r="91" spans="2:13" x14ac:dyDescent="0.25">
      <c r="B91" s="661" t="str">
        <f>'Non-State'!C101</f>
        <v>136332705</v>
      </c>
      <c r="C91" s="661" t="str">
        <f>'Non-State'!D101</f>
        <v>136332705</v>
      </c>
      <c r="D91" s="662" t="str">
        <f>'Non-State'!F101</f>
        <v>Starr County Memorial Hospital</v>
      </c>
      <c r="E91" s="663" t="s">
        <v>63</v>
      </c>
      <c r="F91" s="664">
        <f>'Non-State'!BG101</f>
        <v>0</v>
      </c>
      <c r="G91" s="664">
        <f>'Non-State'!BH101</f>
        <v>0</v>
      </c>
      <c r="H91" s="664">
        <f>'Non-State'!BJ101</f>
        <v>4077373</v>
      </c>
      <c r="I91" s="664">
        <f>'Non-State'!BO101</f>
        <v>1432381.13</v>
      </c>
      <c r="J91" s="664">
        <f>'Non-State'!BL101</f>
        <v>4077373</v>
      </c>
      <c r="K91" s="664">
        <f>'Non-State'!BR101</f>
        <v>1432381.13</v>
      </c>
      <c r="L91" s="664">
        <f>'Non-State'!CH101</f>
        <v>4077373</v>
      </c>
      <c r="M91" s="664">
        <f>'Non-State'!CB101</f>
        <v>0</v>
      </c>
    </row>
    <row r="92" spans="2:13" x14ac:dyDescent="0.25">
      <c r="B92" s="661" t="str">
        <f>'Non-State'!C102</f>
        <v>136436606</v>
      </c>
      <c r="C92" s="661" t="str">
        <f>'Non-State'!D102</f>
        <v>136436606</v>
      </c>
      <c r="D92" s="662" t="str">
        <f>'Non-State'!F102</f>
        <v>CHRISTUS Spohn Hospital Kleberg</v>
      </c>
      <c r="E92" s="663" t="s">
        <v>63</v>
      </c>
      <c r="F92" s="664">
        <f>'Non-State'!BG102</f>
        <v>0</v>
      </c>
      <c r="G92" s="664">
        <f>'Non-State'!BH102</f>
        <v>0</v>
      </c>
      <c r="H92" s="664">
        <f>'Non-State'!BJ102</f>
        <v>3892170.68</v>
      </c>
      <c r="I92" s="664">
        <f>'Non-State'!BO102</f>
        <v>0</v>
      </c>
      <c r="J92" s="664">
        <f>'Non-State'!BL102</f>
        <v>3892170.68</v>
      </c>
      <c r="K92" s="664">
        <f>'Non-State'!BR102</f>
        <v>0</v>
      </c>
      <c r="L92" s="664">
        <f>'Non-State'!CH102</f>
        <v>4908065.6500000004</v>
      </c>
      <c r="M92" s="664">
        <f>'Non-State'!CB102</f>
        <v>0</v>
      </c>
    </row>
    <row r="93" spans="2:13" x14ac:dyDescent="0.25">
      <c r="B93" s="661" t="str">
        <f>'Non-State'!C103</f>
        <v>137226005</v>
      </c>
      <c r="C93" s="661" t="str">
        <f>'Non-State'!D103</f>
        <v>137226005</v>
      </c>
      <c r="D93" s="662" t="str">
        <f>'Non-State'!F103</f>
        <v>Shannon Medical Center</v>
      </c>
      <c r="E93" s="663" t="s">
        <v>63</v>
      </c>
      <c r="F93" s="664">
        <f>'Non-State'!BG103</f>
        <v>0</v>
      </c>
      <c r="G93" s="664">
        <f>'Non-State'!BH103</f>
        <v>0</v>
      </c>
      <c r="H93" s="664">
        <f>'Non-State'!BJ103</f>
        <v>6911706.0899999999</v>
      </c>
      <c r="I93" s="664">
        <f>'Non-State'!BO103</f>
        <v>0</v>
      </c>
      <c r="J93" s="664">
        <f>'Non-State'!BL103</f>
        <v>6911706.0899999999</v>
      </c>
      <c r="K93" s="664">
        <f>'Non-State'!BR103</f>
        <v>0</v>
      </c>
      <c r="L93" s="664">
        <f>'Non-State'!CH103</f>
        <v>6911706.0899999999</v>
      </c>
      <c r="M93" s="664">
        <f>'Non-State'!CB103</f>
        <v>0</v>
      </c>
    </row>
    <row r="94" spans="2:13" x14ac:dyDescent="0.25">
      <c r="B94" s="661" t="str">
        <f>'Non-State'!C104</f>
        <v>137227806</v>
      </c>
      <c r="C94" s="661" t="str">
        <f>'Non-State'!D104</f>
        <v>137227806</v>
      </c>
      <c r="D94" s="662" t="str">
        <f>'Non-State'!F104</f>
        <v>Yoakum County Hospital</v>
      </c>
      <c r="E94" s="663" t="s">
        <v>63</v>
      </c>
      <c r="F94" s="664">
        <f>'Non-State'!BG104</f>
        <v>0</v>
      </c>
      <c r="G94" s="664">
        <f>'Non-State'!BH104</f>
        <v>0</v>
      </c>
      <c r="H94" s="664">
        <f>'Non-State'!BJ104</f>
        <v>5396420.5999999996</v>
      </c>
      <c r="I94" s="664">
        <f>'Non-State'!BO104</f>
        <v>1895762.56</v>
      </c>
      <c r="J94" s="664">
        <f>'Non-State'!BL104</f>
        <v>5396420.5999999996</v>
      </c>
      <c r="K94" s="664">
        <f>'Non-State'!BR104</f>
        <v>1895762.56</v>
      </c>
      <c r="L94" s="664">
        <f>'Non-State'!CH104</f>
        <v>5396420.5999999996</v>
      </c>
      <c r="M94" s="664">
        <f>'Non-State'!CB104</f>
        <v>0</v>
      </c>
    </row>
    <row r="95" spans="2:13" x14ac:dyDescent="0.25">
      <c r="B95" s="661" t="str">
        <f>'Non-State'!C105</f>
        <v>137245009</v>
      </c>
      <c r="C95" s="661" t="str">
        <f>'Non-State'!D105</f>
        <v>137245009</v>
      </c>
      <c r="D95" s="662" t="str">
        <f>'Non-State'!F105</f>
        <v>Northwest Texas Health Care System</v>
      </c>
      <c r="E95" s="663" t="s">
        <v>63</v>
      </c>
      <c r="F95" s="664">
        <f>'Non-State'!BG105</f>
        <v>0</v>
      </c>
      <c r="G95" s="664">
        <f>'Non-State'!BH105</f>
        <v>0</v>
      </c>
      <c r="H95" s="664">
        <f>'Non-State'!BJ105</f>
        <v>8000000</v>
      </c>
      <c r="I95" s="664">
        <f>'Non-State'!BO105</f>
        <v>0</v>
      </c>
      <c r="J95" s="664">
        <f>'Non-State'!BL105</f>
        <v>8000000</v>
      </c>
      <c r="K95" s="664">
        <f>'Non-State'!BR105</f>
        <v>0</v>
      </c>
      <c r="L95" s="664">
        <f>'Non-State'!CH105</f>
        <v>8000000</v>
      </c>
      <c r="M95" s="664">
        <f>'Non-State'!CB105</f>
        <v>0</v>
      </c>
    </row>
    <row r="96" spans="2:13" x14ac:dyDescent="0.25">
      <c r="B96" s="661" t="str">
        <f>'Non-State'!C106</f>
        <v>137249208</v>
      </c>
      <c r="C96" s="661" t="str">
        <f>'Non-State'!D106</f>
        <v>137249208</v>
      </c>
      <c r="D96" s="662" t="str">
        <f>'Non-State'!F106</f>
        <v>Baylor Scott &amp; White Medical Center - Temple</v>
      </c>
      <c r="E96" s="663" t="s">
        <v>63</v>
      </c>
      <c r="F96" s="664">
        <f>'Non-State'!BG106</f>
        <v>0</v>
      </c>
      <c r="G96" s="664">
        <f>'Non-State'!BH106</f>
        <v>0</v>
      </c>
      <c r="H96" s="664">
        <f>'Non-State'!BJ106</f>
        <v>8000000</v>
      </c>
      <c r="I96" s="664">
        <f>'Non-State'!BO106</f>
        <v>0</v>
      </c>
      <c r="J96" s="664">
        <f>'Non-State'!BL106</f>
        <v>8000000</v>
      </c>
      <c r="K96" s="664">
        <f>'Non-State'!BR106</f>
        <v>0</v>
      </c>
      <c r="L96" s="664">
        <f>'Non-State'!CH106</f>
        <v>8000000</v>
      </c>
      <c r="M96" s="664">
        <f>'Non-State'!CB106</f>
        <v>0</v>
      </c>
    </row>
    <row r="97" spans="2:13" x14ac:dyDescent="0.25">
      <c r="B97" s="661" t="str">
        <f>'Non-State'!C107</f>
        <v>137805107</v>
      </c>
      <c r="C97" s="661" t="str">
        <f>'Non-State'!D107</f>
        <v>137805107</v>
      </c>
      <c r="D97" s="662" t="str">
        <f>'Non-State'!F107</f>
        <v>Memorial Hermann Texas Medical Center</v>
      </c>
      <c r="E97" s="663" t="s">
        <v>63</v>
      </c>
      <c r="F97" s="664">
        <f>'Non-State'!BG107</f>
        <v>0</v>
      </c>
      <c r="G97" s="664">
        <f>'Non-State'!BH107</f>
        <v>0</v>
      </c>
      <c r="H97" s="664">
        <f>'Non-State'!BJ107</f>
        <v>8000000</v>
      </c>
      <c r="I97" s="664">
        <f>'Non-State'!BO107</f>
        <v>0</v>
      </c>
      <c r="J97" s="664">
        <f>'Non-State'!BL107</f>
        <v>8000000</v>
      </c>
      <c r="K97" s="664">
        <f>'Non-State'!BR107</f>
        <v>0</v>
      </c>
      <c r="L97" s="664">
        <f>'Non-State'!CH107</f>
        <v>8000000</v>
      </c>
      <c r="M97" s="664">
        <f>'Non-State'!CB107</f>
        <v>0</v>
      </c>
    </row>
    <row r="98" spans="2:13" x14ac:dyDescent="0.25">
      <c r="B98" s="661" t="str">
        <f>'Non-State'!C108</f>
        <v>137999206</v>
      </c>
      <c r="C98" s="661" t="str">
        <f>'Non-State'!D108</f>
        <v>137999206</v>
      </c>
      <c r="D98" s="662" t="str">
        <f>'Non-State'!F108</f>
        <v>UMC Health System</v>
      </c>
      <c r="E98" s="663" t="s">
        <v>63</v>
      </c>
      <c r="F98" s="664">
        <f>'Non-State'!BG108</f>
        <v>0</v>
      </c>
      <c r="G98" s="664">
        <f>'Non-State'!BH108</f>
        <v>0</v>
      </c>
      <c r="H98" s="664">
        <f>'Non-State'!BJ108</f>
        <v>34841549.689999998</v>
      </c>
      <c r="I98" s="664">
        <f>'Non-State'!BO108</f>
        <v>12239836.41</v>
      </c>
      <c r="J98" s="664">
        <f>'Non-State'!BL108</f>
        <v>34841549.689999998</v>
      </c>
      <c r="K98" s="664">
        <f>'Non-State'!BR108</f>
        <v>12239836.41</v>
      </c>
      <c r="L98" s="664">
        <f>'Non-State'!CH108</f>
        <v>34841549.689999998</v>
      </c>
      <c r="M98" s="664">
        <f>'Non-State'!CB108</f>
        <v>0</v>
      </c>
    </row>
    <row r="99" spans="2:13" x14ac:dyDescent="0.25">
      <c r="B99" s="661" t="str">
        <f>'Non-State'!C109</f>
        <v>138296208</v>
      </c>
      <c r="C99" s="661" t="str">
        <f>'Non-State'!D109</f>
        <v>138296208</v>
      </c>
      <c r="D99" s="662" t="str">
        <f>'Non-State'!F109</f>
        <v>DBA CHRISTUS Hospital</v>
      </c>
      <c r="E99" s="663" t="s">
        <v>63</v>
      </c>
      <c r="F99" s="664">
        <f>'Non-State'!BG109</f>
        <v>0</v>
      </c>
      <c r="G99" s="664">
        <f>'Non-State'!BH109</f>
        <v>0</v>
      </c>
      <c r="H99" s="664">
        <f>'Non-State'!BJ109</f>
        <v>6000000</v>
      </c>
      <c r="I99" s="664">
        <f>'Non-State'!BO109</f>
        <v>0</v>
      </c>
      <c r="J99" s="664">
        <f>'Non-State'!BL109</f>
        <v>6000000</v>
      </c>
      <c r="K99" s="664">
        <f>'Non-State'!BR109</f>
        <v>0</v>
      </c>
      <c r="L99" s="664">
        <f>'Non-State'!CH109</f>
        <v>6000000</v>
      </c>
      <c r="M99" s="664">
        <f>'Non-State'!CB109</f>
        <v>0</v>
      </c>
    </row>
    <row r="100" spans="2:13" x14ac:dyDescent="0.25">
      <c r="B100" s="661" t="str">
        <f>'Non-State'!C110</f>
        <v>138353107</v>
      </c>
      <c r="C100" s="661" t="str">
        <f>'Non-State'!D110</f>
        <v>138353107</v>
      </c>
      <c r="D100" s="662" t="str">
        <f>'Non-State'!F110</f>
        <v>Seymour Hospital</v>
      </c>
      <c r="E100" s="663" t="s">
        <v>63</v>
      </c>
      <c r="F100" s="664">
        <f>'Non-State'!BG110</f>
        <v>0</v>
      </c>
      <c r="G100" s="664">
        <f>'Non-State'!BH110</f>
        <v>0</v>
      </c>
      <c r="H100" s="664">
        <f>'Non-State'!BJ110</f>
        <v>868199.93</v>
      </c>
      <c r="I100" s="664">
        <f>'Non-State'!BO110</f>
        <v>304998.64</v>
      </c>
      <c r="J100" s="664">
        <f>'Non-State'!BL110</f>
        <v>868199.93</v>
      </c>
      <c r="K100" s="664">
        <f>'Non-State'!BR110</f>
        <v>304998.64</v>
      </c>
      <c r="L100" s="664">
        <f>'Non-State'!CH110</f>
        <v>868199.93</v>
      </c>
      <c r="M100" s="664">
        <f>'Non-State'!CB110</f>
        <v>0</v>
      </c>
    </row>
    <row r="101" spans="2:13" x14ac:dyDescent="0.25">
      <c r="B101" s="661" t="str">
        <f>'Non-State'!C111</f>
        <v>138644310</v>
      </c>
      <c r="C101" s="661" t="str">
        <f>'Non-State'!D111</f>
        <v>138644310</v>
      </c>
      <c r="D101" s="662" t="str">
        <f>'Non-State'!F111</f>
        <v>Hendrick Medical Center</v>
      </c>
      <c r="E101" s="663" t="s">
        <v>63</v>
      </c>
      <c r="F101" s="664">
        <f>'Non-State'!BG111</f>
        <v>0</v>
      </c>
      <c r="G101" s="664">
        <f>'Non-State'!BH111</f>
        <v>0</v>
      </c>
      <c r="H101" s="664">
        <f>'Non-State'!BJ111</f>
        <v>12277629.880000001</v>
      </c>
      <c r="I101" s="664">
        <f>'Non-State'!BO111</f>
        <v>0</v>
      </c>
      <c r="J101" s="664">
        <f>'Non-State'!BL111</f>
        <v>12277629.880000001</v>
      </c>
      <c r="K101" s="664">
        <f>'Non-State'!BR111</f>
        <v>0</v>
      </c>
      <c r="L101" s="664">
        <f>'Non-State'!CH111</f>
        <v>12277629.880000001</v>
      </c>
      <c r="M101" s="664">
        <f>'Non-State'!CB111</f>
        <v>0</v>
      </c>
    </row>
    <row r="102" spans="2:13" x14ac:dyDescent="0.25">
      <c r="B102" s="661" t="str">
        <f>'Non-State'!C112</f>
        <v>138911619</v>
      </c>
      <c r="C102" s="661" t="str">
        <f>'Non-State'!D112</f>
        <v>138911619</v>
      </c>
      <c r="D102" s="662" t="str">
        <f>'Non-State'!F112</f>
        <v>Cuero Regional Hospital</v>
      </c>
      <c r="E102" s="663" t="s">
        <v>63</v>
      </c>
      <c r="F102" s="664">
        <f>'Non-State'!BG112</f>
        <v>0</v>
      </c>
      <c r="G102" s="664">
        <f>'Non-State'!BH112</f>
        <v>0</v>
      </c>
      <c r="H102" s="664">
        <f>'Non-State'!BJ112</f>
        <v>2570353.89</v>
      </c>
      <c r="I102" s="664">
        <f>'Non-State'!BO112</f>
        <v>902965.32</v>
      </c>
      <c r="J102" s="664">
        <f>'Non-State'!BL112</f>
        <v>2570353.89</v>
      </c>
      <c r="K102" s="664">
        <f>'Non-State'!BR112</f>
        <v>902965.32</v>
      </c>
      <c r="L102" s="664">
        <f>'Non-State'!CH112</f>
        <v>2570353.89</v>
      </c>
      <c r="M102" s="664">
        <f>'Non-State'!CB112</f>
        <v>0</v>
      </c>
    </row>
    <row r="103" spans="2:13" x14ac:dyDescent="0.25">
      <c r="B103" s="661" t="str">
        <f>'Non-State'!C113</f>
        <v>138913209</v>
      </c>
      <c r="C103" s="661" t="str">
        <f>'Non-State'!D113</f>
        <v>138913209</v>
      </c>
      <c r="D103" s="662" t="str">
        <f>'Non-State'!F113</f>
        <v>Titus Regional Medical Center</v>
      </c>
      <c r="E103" s="663" t="s">
        <v>63</v>
      </c>
      <c r="F103" s="664">
        <f>'Non-State'!BG113</f>
        <v>0</v>
      </c>
      <c r="G103" s="664">
        <f>'Non-State'!BH113</f>
        <v>0</v>
      </c>
      <c r="H103" s="664">
        <f>'Non-State'!BJ113</f>
        <v>1402425.59</v>
      </c>
      <c r="I103" s="664">
        <f>'Non-State'!BO113</f>
        <v>492672.11</v>
      </c>
      <c r="J103" s="664">
        <f>'Non-State'!BL113</f>
        <v>1402425.59</v>
      </c>
      <c r="K103" s="664">
        <f>'Non-State'!BR113</f>
        <v>492672.11</v>
      </c>
      <c r="L103" s="664">
        <f>'Non-State'!CH113</f>
        <v>1402425.59</v>
      </c>
      <c r="M103" s="664">
        <f>'Non-State'!CB113</f>
        <v>0</v>
      </c>
    </row>
    <row r="104" spans="2:13" x14ac:dyDescent="0.25">
      <c r="B104" s="661" t="str">
        <f>'Non-State'!C114</f>
        <v>138950412</v>
      </c>
      <c r="C104" s="661" t="str">
        <f>'Non-State'!D114</f>
        <v>138950412</v>
      </c>
      <c r="D104" s="662" t="str">
        <f>'Non-State'!F114</f>
        <v>Palo Pinto General Hospital</v>
      </c>
      <c r="E104" s="663" t="s">
        <v>63</v>
      </c>
      <c r="F104" s="664">
        <f>'Non-State'!BG114</f>
        <v>0</v>
      </c>
      <c r="G104" s="664">
        <f>'Non-State'!BH114</f>
        <v>0</v>
      </c>
      <c r="H104" s="664">
        <f>'Non-State'!BJ114</f>
        <v>7405023.0999999996</v>
      </c>
      <c r="I104" s="664">
        <f>'Non-State'!BO114</f>
        <v>2601384.62</v>
      </c>
      <c r="J104" s="664">
        <f>'Non-State'!BL114</f>
        <v>7405023.0999999996</v>
      </c>
      <c r="K104" s="664">
        <f>'Non-State'!BR114</f>
        <v>2601384.62</v>
      </c>
      <c r="L104" s="664">
        <f>'Non-State'!CH114</f>
        <v>7405023.0999999996</v>
      </c>
      <c r="M104" s="664">
        <f>'Non-State'!CB114</f>
        <v>0</v>
      </c>
    </row>
    <row r="105" spans="2:13" x14ac:dyDescent="0.25">
      <c r="B105" s="661" t="str">
        <f>'Non-State'!C115</f>
        <v>138951211</v>
      </c>
      <c r="C105" s="661" t="str">
        <f>'Non-State'!D115</f>
        <v>138951211</v>
      </c>
      <c r="D105" s="662" t="str">
        <f>'Non-State'!F115</f>
        <v>University Medical Center Of El Paso</v>
      </c>
      <c r="E105" s="663" t="s">
        <v>63</v>
      </c>
      <c r="F105" s="664">
        <f>'Non-State'!BG115</f>
        <v>0</v>
      </c>
      <c r="G105" s="664">
        <f>'Non-State'!BH115</f>
        <v>0</v>
      </c>
      <c r="H105" s="664">
        <f>'Non-State'!BJ115</f>
        <v>90544688.459999993</v>
      </c>
      <c r="I105" s="664">
        <f>'Non-State'!BO115</f>
        <v>52310804.789999999</v>
      </c>
      <c r="J105" s="664">
        <f>'Non-State'!BL115</f>
        <v>90544688.459999993</v>
      </c>
      <c r="K105" s="664">
        <f>'Non-State'!BR115</f>
        <v>52310804.789999999</v>
      </c>
      <c r="L105" s="664">
        <f>'Non-State'!CH115</f>
        <v>91313235.59466055</v>
      </c>
      <c r="M105" s="664">
        <f>'Non-State'!CB115</f>
        <v>0</v>
      </c>
    </row>
    <row r="106" spans="2:13" x14ac:dyDescent="0.25">
      <c r="B106" s="661" t="str">
        <f>'Non-State'!C116</f>
        <v>138962907</v>
      </c>
      <c r="C106" s="661" t="str">
        <f>'Non-State'!D116</f>
        <v>138962907</v>
      </c>
      <c r="D106" s="662" t="str">
        <f>'Non-State'!F116</f>
        <v>Hillcrest Baptist Medical Center</v>
      </c>
      <c r="E106" s="663" t="s">
        <v>63</v>
      </c>
      <c r="F106" s="664">
        <f>'Non-State'!BG116</f>
        <v>0</v>
      </c>
      <c r="G106" s="664">
        <f>'Non-State'!BH116</f>
        <v>0</v>
      </c>
      <c r="H106" s="664">
        <f>'Non-State'!BJ116</f>
        <v>8000000</v>
      </c>
      <c r="I106" s="664">
        <f>'Non-State'!BO116</f>
        <v>0</v>
      </c>
      <c r="J106" s="664">
        <f>'Non-State'!BL116</f>
        <v>8000000</v>
      </c>
      <c r="K106" s="664">
        <f>'Non-State'!BR116</f>
        <v>0</v>
      </c>
      <c r="L106" s="664">
        <f>'Non-State'!CH116</f>
        <v>8000000</v>
      </c>
      <c r="M106" s="664">
        <f>'Non-State'!CB116</f>
        <v>0</v>
      </c>
    </row>
    <row r="107" spans="2:13" x14ac:dyDescent="0.25">
      <c r="B107" s="661" t="str">
        <f>'Non-State'!C117</f>
        <v>139485012</v>
      </c>
      <c r="C107" s="661" t="str">
        <f>'Non-State'!D117</f>
        <v>139485012</v>
      </c>
      <c r="D107" s="662" t="str">
        <f>'Non-State'!F117</f>
        <v>Baylor Scott &amp; White Medical Center - Dallas</v>
      </c>
      <c r="E107" s="663" t="s">
        <v>63</v>
      </c>
      <c r="F107" s="664">
        <f>'Non-State'!BG117</f>
        <v>0</v>
      </c>
      <c r="G107" s="664">
        <f>'Non-State'!BH117</f>
        <v>0</v>
      </c>
      <c r="H107" s="664">
        <f>'Non-State'!BJ117</f>
        <v>29832721.57</v>
      </c>
      <c r="I107" s="664">
        <f>'Non-State'!BO117</f>
        <v>0</v>
      </c>
      <c r="J107" s="664">
        <f>'Non-State'!BL117</f>
        <v>29832721.57</v>
      </c>
      <c r="K107" s="664">
        <f>'Non-State'!BR117</f>
        <v>0</v>
      </c>
      <c r="L107" s="664">
        <f>'Non-State'!CH117</f>
        <v>29832721.57</v>
      </c>
      <c r="M107" s="664">
        <f>'Non-State'!CB117</f>
        <v>0</v>
      </c>
    </row>
    <row r="108" spans="2:13" x14ac:dyDescent="0.25">
      <c r="B108" s="661" t="str">
        <f>'Non-State'!C118</f>
        <v>140714001</v>
      </c>
      <c r="C108" s="661" t="str">
        <f>'Non-State'!D118</f>
        <v>140714001</v>
      </c>
      <c r="D108" s="662" t="str">
        <f>'Non-State'!F118</f>
        <v>Limestone Medical Center</v>
      </c>
      <c r="E108" s="663" t="s">
        <v>63</v>
      </c>
      <c r="F108" s="664">
        <f>'Non-State'!BG118</f>
        <v>0</v>
      </c>
      <c r="G108" s="664">
        <f>'Non-State'!BH118</f>
        <v>0</v>
      </c>
      <c r="H108" s="664">
        <f>'Non-State'!BJ118</f>
        <v>1149299.48</v>
      </c>
      <c r="I108" s="664">
        <f>'Non-State'!BO118</f>
        <v>403748.91</v>
      </c>
      <c r="J108" s="664">
        <f>'Non-State'!BL118</f>
        <v>1149299.48</v>
      </c>
      <c r="K108" s="664">
        <f>'Non-State'!BR118</f>
        <v>403748.91</v>
      </c>
      <c r="L108" s="664">
        <f>'Non-State'!CH118</f>
        <v>1149299.48</v>
      </c>
      <c r="M108" s="664">
        <f>'Non-State'!CB118</f>
        <v>0</v>
      </c>
    </row>
    <row r="109" spans="2:13" x14ac:dyDescent="0.25">
      <c r="B109" s="661" t="str">
        <f>'Non-State'!C119</f>
        <v>159156201</v>
      </c>
      <c r="C109" s="661" t="str">
        <f>'Non-State'!D119</f>
        <v>159156201</v>
      </c>
      <c r="D109" s="662" t="str">
        <f>'Non-State'!F119</f>
        <v>Baptist Health System</v>
      </c>
      <c r="E109" s="663" t="s">
        <v>63</v>
      </c>
      <c r="F109" s="664">
        <f>'Non-State'!BG119</f>
        <v>0</v>
      </c>
      <c r="G109" s="664">
        <f>'Non-State'!BH119</f>
        <v>0</v>
      </c>
      <c r="H109" s="664">
        <f>'Non-State'!BJ119</f>
        <v>8000000</v>
      </c>
      <c r="I109" s="664">
        <f>'Non-State'!BO119</f>
        <v>0</v>
      </c>
      <c r="J109" s="664">
        <f>'Non-State'!BL119</f>
        <v>8000000</v>
      </c>
      <c r="K109" s="664">
        <f>'Non-State'!BR119</f>
        <v>0</v>
      </c>
      <c r="L109" s="664">
        <f>'Non-State'!CH119</f>
        <v>8000000</v>
      </c>
      <c r="M109" s="664">
        <f>'Non-State'!CB119</f>
        <v>0</v>
      </c>
    </row>
    <row r="110" spans="2:13" x14ac:dyDescent="0.25">
      <c r="B110" s="661" t="str">
        <f>'Non-State'!C120</f>
        <v>160709501</v>
      </c>
      <c r="C110" s="661" t="str">
        <f>'Non-State'!D120</f>
        <v>160709501</v>
      </c>
      <c r="D110" s="662" t="str">
        <f>'Non-State'!F120</f>
        <v>Doctors Hospital At Renaissance, Ltd</v>
      </c>
      <c r="E110" s="663" t="s">
        <v>63</v>
      </c>
      <c r="F110" s="664">
        <f>'Non-State'!BG120</f>
        <v>0</v>
      </c>
      <c r="G110" s="664">
        <f>'Non-State'!BH120</f>
        <v>0</v>
      </c>
      <c r="H110" s="664">
        <f>'Non-State'!BJ120</f>
        <v>18830469.75</v>
      </c>
      <c r="I110" s="664">
        <f>'Non-State'!BO120</f>
        <v>0</v>
      </c>
      <c r="J110" s="664">
        <f>'Non-State'!BL120</f>
        <v>18830469.75</v>
      </c>
      <c r="K110" s="664">
        <f>'Non-State'!BR120</f>
        <v>0</v>
      </c>
      <c r="L110" s="664">
        <f>'Non-State'!CH120</f>
        <v>18830469.75</v>
      </c>
      <c r="M110" s="664">
        <f>'Non-State'!CB120</f>
        <v>0</v>
      </c>
    </row>
    <row r="111" spans="2:13" x14ac:dyDescent="0.25">
      <c r="B111" s="661" t="str">
        <f>'Non-State'!C121</f>
        <v>162033801</v>
      </c>
      <c r="C111" s="661" t="str">
        <f>'Non-State'!D121</f>
        <v>162033801</v>
      </c>
      <c r="D111" s="662" t="str">
        <f>'Non-State'!F121</f>
        <v>Laredo Medical Center</v>
      </c>
      <c r="E111" s="663" t="s">
        <v>63</v>
      </c>
      <c r="F111" s="664">
        <f>'Non-State'!BG121</f>
        <v>0</v>
      </c>
      <c r="G111" s="664">
        <f>'Non-State'!BH121</f>
        <v>0</v>
      </c>
      <c r="H111" s="664">
        <f>'Non-State'!BJ121</f>
        <v>8000000</v>
      </c>
      <c r="I111" s="664">
        <f>'Non-State'!BO121</f>
        <v>0</v>
      </c>
      <c r="J111" s="664">
        <f>'Non-State'!BL121</f>
        <v>8000000</v>
      </c>
      <c r="K111" s="664">
        <f>'Non-State'!BR121</f>
        <v>0</v>
      </c>
      <c r="L111" s="664">
        <f>'Non-State'!CH121</f>
        <v>8000000</v>
      </c>
      <c r="M111" s="664">
        <f>'Non-State'!CB121</f>
        <v>0</v>
      </c>
    </row>
    <row r="112" spans="2:13" x14ac:dyDescent="0.25">
      <c r="B112" s="661" t="str">
        <f>'Non-State'!C122</f>
        <v>163111101</v>
      </c>
      <c r="C112" s="661" t="str">
        <f>'Non-State'!D122</f>
        <v>163111101</v>
      </c>
      <c r="D112" s="662" t="str">
        <f>'Non-State'!F122</f>
        <v>Paris Regional Medical Center</v>
      </c>
      <c r="E112" s="663" t="s">
        <v>63</v>
      </c>
      <c r="F112" s="664">
        <f>'Non-State'!BG122</f>
        <v>0</v>
      </c>
      <c r="G112" s="664">
        <f>'Non-State'!BH122</f>
        <v>0</v>
      </c>
      <c r="H112" s="664">
        <f>'Non-State'!BJ122</f>
        <v>1461644.53</v>
      </c>
      <c r="I112" s="664">
        <f>'Non-State'!BO122</f>
        <v>0</v>
      </c>
      <c r="J112" s="664">
        <f>'Non-State'!BL122</f>
        <v>1461644.53</v>
      </c>
      <c r="K112" s="664">
        <f>'Non-State'!BR122</f>
        <v>0</v>
      </c>
      <c r="L112" s="664">
        <f>'Non-State'!CH122</f>
        <v>1843148.1800000002</v>
      </c>
      <c r="M112" s="664">
        <f>'Non-State'!CB122</f>
        <v>0</v>
      </c>
    </row>
    <row r="113" spans="2:13" x14ac:dyDescent="0.25">
      <c r="B113" s="661" t="str">
        <f>'Non-State'!C123</f>
        <v>163925401</v>
      </c>
      <c r="C113" s="661" t="str">
        <f>'Non-State'!D123</f>
        <v>163925401</v>
      </c>
      <c r="D113" s="662" t="str">
        <f>'Non-State'!F123</f>
        <v>The Medical Center Of Southeast Texas</v>
      </c>
      <c r="E113" s="663" t="s">
        <v>63</v>
      </c>
      <c r="F113" s="664">
        <f>'Non-State'!BG123</f>
        <v>0</v>
      </c>
      <c r="G113" s="664">
        <f>'Non-State'!BH123</f>
        <v>0</v>
      </c>
      <c r="H113" s="664">
        <f>'Non-State'!BJ123</f>
        <v>6000000</v>
      </c>
      <c r="I113" s="664">
        <f>'Non-State'!BO123</f>
        <v>0</v>
      </c>
      <c r="J113" s="664">
        <f>'Non-State'!BL123</f>
        <v>6000000</v>
      </c>
      <c r="K113" s="664">
        <f>'Non-State'!BR123</f>
        <v>0</v>
      </c>
      <c r="L113" s="664">
        <f>'Non-State'!CH123</f>
        <v>6000000</v>
      </c>
      <c r="M113" s="664">
        <f>'Non-State'!CB123</f>
        <v>0</v>
      </c>
    </row>
    <row r="114" spans="2:13" x14ac:dyDescent="0.25">
      <c r="B114" s="661" t="str">
        <f>'Non-State'!C124</f>
        <v>175965601</v>
      </c>
      <c r="C114" s="661" t="str">
        <f>'Non-State'!D124</f>
        <v>175965601</v>
      </c>
      <c r="D114" s="662" t="str">
        <f>'Non-State'!F124</f>
        <v>Kingwood Pines Hospital</v>
      </c>
      <c r="E114" s="663" t="s">
        <v>63</v>
      </c>
      <c r="F114" s="664">
        <f>'Non-State'!BG124</f>
        <v>0</v>
      </c>
      <c r="G114" s="664">
        <f>'Non-State'!BH124</f>
        <v>0</v>
      </c>
      <c r="H114" s="664">
        <f>'Non-State'!BJ124</f>
        <v>708511.61</v>
      </c>
      <c r="I114" s="664">
        <f>'Non-State'!BO124</f>
        <v>0</v>
      </c>
      <c r="J114" s="664">
        <f>'Non-State'!BL124</f>
        <v>708511.61</v>
      </c>
      <c r="K114" s="664">
        <f>'Non-State'!BR124</f>
        <v>0</v>
      </c>
      <c r="L114" s="664">
        <f>'Non-State'!CH124</f>
        <v>708511.61</v>
      </c>
      <c r="M114" s="664">
        <f>'Non-State'!CB124</f>
        <v>0</v>
      </c>
    </row>
    <row r="115" spans="2:13" x14ac:dyDescent="0.25">
      <c r="B115" s="661" t="str">
        <f>'Non-State'!C125</f>
        <v>181706601</v>
      </c>
      <c r="C115" s="661" t="str">
        <f>'Non-State'!D125</f>
        <v>181706601</v>
      </c>
      <c r="D115" s="662" t="str">
        <f>'Non-State'!F125</f>
        <v>St. Joseph Medical Center</v>
      </c>
      <c r="E115" s="663" t="s">
        <v>63</v>
      </c>
      <c r="F115" s="664">
        <f>'Non-State'!BG125</f>
        <v>0</v>
      </c>
      <c r="G115" s="664">
        <f>'Non-State'!BH125</f>
        <v>0</v>
      </c>
      <c r="H115" s="664">
        <f>'Non-State'!BJ125</f>
        <v>8000000</v>
      </c>
      <c r="I115" s="664">
        <f>'Non-State'!BO125</f>
        <v>0</v>
      </c>
      <c r="J115" s="664">
        <f>'Non-State'!BL125</f>
        <v>8000000</v>
      </c>
      <c r="K115" s="664">
        <f>'Non-State'!BR125</f>
        <v>0</v>
      </c>
      <c r="L115" s="664">
        <f>'Non-State'!CH125</f>
        <v>8000000</v>
      </c>
      <c r="M115" s="664">
        <f>'Non-State'!CB125</f>
        <v>0</v>
      </c>
    </row>
    <row r="116" spans="2:13" x14ac:dyDescent="0.25">
      <c r="B116" s="661" t="str">
        <f>'Non-State'!C126</f>
        <v>193867201</v>
      </c>
      <c r="C116" s="661" t="str">
        <f>'Non-State'!D126</f>
        <v>193867201</v>
      </c>
      <c r="D116" s="662" t="str">
        <f>'Non-State'!F126</f>
        <v>HCA Houston Healthcare Northwest</v>
      </c>
      <c r="E116" s="663" t="s">
        <v>63</v>
      </c>
      <c r="F116" s="664">
        <f>'Non-State'!BG126</f>
        <v>0</v>
      </c>
      <c r="G116" s="664">
        <f>'Non-State'!BH126</f>
        <v>0</v>
      </c>
      <c r="H116" s="664">
        <f>'Non-State'!BJ126</f>
        <v>8000000</v>
      </c>
      <c r="I116" s="664">
        <f>'Non-State'!BO126</f>
        <v>0</v>
      </c>
      <c r="J116" s="664">
        <f>'Non-State'!BL126</f>
        <v>8000000</v>
      </c>
      <c r="K116" s="664">
        <f>'Non-State'!BR126</f>
        <v>0</v>
      </c>
      <c r="L116" s="664">
        <f>'Non-State'!CH126</f>
        <v>8000000</v>
      </c>
      <c r="M116" s="664">
        <f>'Non-State'!CB126</f>
        <v>0</v>
      </c>
    </row>
    <row r="117" spans="2:13" x14ac:dyDescent="0.25">
      <c r="B117" s="661" t="str">
        <f>'Non-State'!C127</f>
        <v>194997601</v>
      </c>
      <c r="C117" s="661" t="str">
        <f>'Non-State'!D127</f>
        <v>194997601</v>
      </c>
      <c r="D117" s="662" t="str">
        <f>'Non-State'!F127</f>
        <v>Texoma Medical Center</v>
      </c>
      <c r="E117" s="663" t="s">
        <v>63</v>
      </c>
      <c r="F117" s="664">
        <f>'Non-State'!BG127</f>
        <v>0</v>
      </c>
      <c r="G117" s="664">
        <f>'Non-State'!BH127</f>
        <v>0</v>
      </c>
      <c r="H117" s="664">
        <f>'Non-State'!BJ127</f>
        <v>9879265.8300000001</v>
      </c>
      <c r="I117" s="664">
        <f>'Non-State'!BO127</f>
        <v>0</v>
      </c>
      <c r="J117" s="664">
        <f>'Non-State'!BL127</f>
        <v>9879265.8300000001</v>
      </c>
      <c r="K117" s="664">
        <f>'Non-State'!BR127</f>
        <v>0</v>
      </c>
      <c r="L117" s="664">
        <f>'Non-State'!CH127</f>
        <v>9879265.8300000001</v>
      </c>
      <c r="M117" s="664">
        <f>'Non-State'!CB127</f>
        <v>0</v>
      </c>
    </row>
    <row r="118" spans="2:13" x14ac:dyDescent="0.25">
      <c r="B118" s="661" t="str">
        <f>'Non-State'!C128</f>
        <v>197063401</v>
      </c>
      <c r="C118" s="661" t="str">
        <f>'Non-State'!D128</f>
        <v>197063401</v>
      </c>
      <c r="D118" s="662" t="str">
        <f>'Non-State'!F128</f>
        <v>Golden Plains Community Hospital</v>
      </c>
      <c r="E118" s="663" t="s">
        <v>63</v>
      </c>
      <c r="F118" s="664">
        <f>'Non-State'!BG128</f>
        <v>0</v>
      </c>
      <c r="G118" s="664">
        <f>'Non-State'!BH128</f>
        <v>0</v>
      </c>
      <c r="H118" s="664">
        <f>'Non-State'!BJ128</f>
        <v>1816533.15</v>
      </c>
      <c r="I118" s="664">
        <f>'Non-State'!BO128</f>
        <v>0</v>
      </c>
      <c r="J118" s="664">
        <f>'Non-State'!BL128</f>
        <v>1816533.15</v>
      </c>
      <c r="K118" s="664">
        <f>'Non-State'!BR128</f>
        <v>0</v>
      </c>
      <c r="L118" s="664">
        <f>'Non-State'!CH128</f>
        <v>2290666.2399999998</v>
      </c>
      <c r="M118" s="664">
        <f>'Non-State'!CB128</f>
        <v>0</v>
      </c>
    </row>
    <row r="119" spans="2:13" x14ac:dyDescent="0.25">
      <c r="B119" s="661" t="str">
        <f>'Non-State'!C129</f>
        <v>207311601</v>
      </c>
      <c r="C119" s="661" t="str">
        <f>'Non-State'!D129</f>
        <v>207311601</v>
      </c>
      <c r="D119" s="662" t="str">
        <f>'Non-State'!F129</f>
        <v>Wadley Regional Medical Center</v>
      </c>
      <c r="E119" s="663" t="s">
        <v>63</v>
      </c>
      <c r="F119" s="664">
        <f>'Non-State'!BG129</f>
        <v>0</v>
      </c>
      <c r="G119" s="664">
        <f>'Non-State'!BH129</f>
        <v>0</v>
      </c>
      <c r="H119" s="664">
        <f>'Non-State'!BJ129</f>
        <v>8000000</v>
      </c>
      <c r="I119" s="664">
        <f>'Non-State'!BO129</f>
        <v>0</v>
      </c>
      <c r="J119" s="664">
        <f>'Non-State'!BL129</f>
        <v>8000000</v>
      </c>
      <c r="K119" s="664">
        <f>'Non-State'!BR129</f>
        <v>0</v>
      </c>
      <c r="L119" s="664">
        <f>'Non-State'!CH129</f>
        <v>8000000</v>
      </c>
      <c r="M119" s="664">
        <f>'Non-State'!CB129</f>
        <v>0</v>
      </c>
    </row>
    <row r="120" spans="2:13" x14ac:dyDescent="0.25">
      <c r="B120" s="661" t="str">
        <f>'Non-State'!C130</f>
        <v>208013701</v>
      </c>
      <c r="C120" s="661" t="str">
        <f>'Non-State'!D130</f>
        <v>208013701</v>
      </c>
      <c r="D120" s="662" t="str">
        <f>'Non-State'!F130</f>
        <v>Ascension Seton Hays</v>
      </c>
      <c r="E120" s="663" t="s">
        <v>63</v>
      </c>
      <c r="F120" s="664">
        <f>'Non-State'!BG130</f>
        <v>0</v>
      </c>
      <c r="G120" s="664">
        <f>'Non-State'!BH130</f>
        <v>0</v>
      </c>
      <c r="H120" s="664">
        <f>'Non-State'!BJ130</f>
        <v>6000000</v>
      </c>
      <c r="I120" s="664">
        <f>'Non-State'!BO130</f>
        <v>0</v>
      </c>
      <c r="J120" s="664">
        <f>'Non-State'!BL130</f>
        <v>6000000</v>
      </c>
      <c r="K120" s="664">
        <f>'Non-State'!BR130</f>
        <v>0</v>
      </c>
      <c r="L120" s="664">
        <f>'Non-State'!CH130</f>
        <v>6000000</v>
      </c>
      <c r="M120" s="664">
        <f>'Non-State'!CB130</f>
        <v>0</v>
      </c>
    </row>
    <row r="121" spans="2:13" x14ac:dyDescent="0.25">
      <c r="B121" s="661" t="str">
        <f>'Non-State'!C131</f>
        <v>212060201</v>
      </c>
      <c r="C121" s="661" t="str">
        <f>'Non-State'!D131</f>
        <v>212060201</v>
      </c>
      <c r="D121" s="662" t="str">
        <f>'Non-State'!F131</f>
        <v>Rice Medical Center</v>
      </c>
      <c r="E121" s="663" t="s">
        <v>63</v>
      </c>
      <c r="F121" s="664">
        <f>'Non-State'!BG131</f>
        <v>0</v>
      </c>
      <c r="G121" s="664">
        <f>'Non-State'!BH131</f>
        <v>0</v>
      </c>
      <c r="H121" s="664">
        <f>'Non-State'!BJ131</f>
        <v>1345199.93</v>
      </c>
      <c r="I121" s="664">
        <f>'Non-State'!BO131</f>
        <v>0</v>
      </c>
      <c r="J121" s="664">
        <f>'Non-State'!BL131</f>
        <v>1345199.93</v>
      </c>
      <c r="K121" s="664">
        <f>'Non-State'!BR131</f>
        <v>0</v>
      </c>
      <c r="L121" s="664">
        <f>'Non-State'!CH131</f>
        <v>1696310.39</v>
      </c>
      <c r="M121" s="664">
        <f>'Non-State'!CB131</f>
        <v>0</v>
      </c>
    </row>
    <row r="122" spans="2:13" x14ac:dyDescent="0.25">
      <c r="B122" s="661" t="str">
        <f>'Non-State'!C132</f>
        <v>217884004</v>
      </c>
      <c r="C122" s="661" t="str">
        <f>'Non-State'!D132</f>
        <v>217884004</v>
      </c>
      <c r="D122" s="662" t="str">
        <f>'Non-State'!F132</f>
        <v>Dimmit Regional Hospital</v>
      </c>
      <c r="E122" s="663" t="s">
        <v>63</v>
      </c>
      <c r="F122" s="664">
        <f>'Non-State'!BG132</f>
        <v>0</v>
      </c>
      <c r="G122" s="664">
        <f>'Non-State'!BH132</f>
        <v>0</v>
      </c>
      <c r="H122" s="664">
        <f>'Non-State'!BJ132</f>
        <v>3528848.73</v>
      </c>
      <c r="I122" s="664">
        <f>'Non-State'!BO132</f>
        <v>1239684.56</v>
      </c>
      <c r="J122" s="664">
        <f>'Non-State'!BL132</f>
        <v>3528848.73</v>
      </c>
      <c r="K122" s="664">
        <f>'Non-State'!BR132</f>
        <v>1239684.56</v>
      </c>
      <c r="L122" s="664">
        <f>'Non-State'!CH132</f>
        <v>3528848.73</v>
      </c>
      <c r="M122" s="664">
        <f>'Non-State'!CB132</f>
        <v>0</v>
      </c>
    </row>
    <row r="123" spans="2:13" x14ac:dyDescent="0.25">
      <c r="B123" s="661" t="str">
        <f>'Non-State'!C133</f>
        <v>292096901</v>
      </c>
      <c r="C123" s="661" t="str">
        <f>'Non-State'!D133</f>
        <v>292096901</v>
      </c>
      <c r="D123" s="662" t="str">
        <f>'Non-State'!F133</f>
        <v>Valley Baptist Medical Center Harlingen</v>
      </c>
      <c r="E123" s="663" t="s">
        <v>63</v>
      </c>
      <c r="F123" s="664">
        <f>'Non-State'!BG133</f>
        <v>0</v>
      </c>
      <c r="G123" s="664">
        <f>'Non-State'!BH133</f>
        <v>0</v>
      </c>
      <c r="H123" s="664">
        <f>'Non-State'!BJ133</f>
        <v>1444658.09</v>
      </c>
      <c r="I123" s="664">
        <f>'Non-State'!BO133</f>
        <v>0</v>
      </c>
      <c r="J123" s="664">
        <f>'Non-State'!BL133</f>
        <v>1444658.09</v>
      </c>
      <c r="K123" s="664">
        <f>'Non-State'!BR133</f>
        <v>0</v>
      </c>
      <c r="L123" s="664">
        <f>'Non-State'!CH133</f>
        <v>1444658.09</v>
      </c>
      <c r="M123" s="664">
        <f>'Non-State'!CB133</f>
        <v>0</v>
      </c>
    </row>
    <row r="124" spans="2:13" x14ac:dyDescent="0.25">
      <c r="B124" s="661" t="str">
        <f>'Non-State'!C134</f>
        <v>294543801</v>
      </c>
      <c r="C124" s="661" t="str">
        <f>'Non-State'!D134</f>
        <v>294543801</v>
      </c>
      <c r="D124" s="662" t="str">
        <f>'Non-State'!F134</f>
        <v>Valley Baptist Medical Center Brownsville</v>
      </c>
      <c r="E124" s="663" t="s">
        <v>63</v>
      </c>
      <c r="F124" s="664">
        <f>'Non-State'!BG134</f>
        <v>0</v>
      </c>
      <c r="G124" s="664">
        <f>'Non-State'!BH134</f>
        <v>0</v>
      </c>
      <c r="H124" s="664">
        <f>'Non-State'!BJ134</f>
        <v>608772.66</v>
      </c>
      <c r="I124" s="664">
        <f>'Non-State'!BO134</f>
        <v>0</v>
      </c>
      <c r="J124" s="664">
        <f>'Non-State'!BL134</f>
        <v>608772.66</v>
      </c>
      <c r="K124" s="664">
        <f>'Non-State'!BR134</f>
        <v>0</v>
      </c>
      <c r="L124" s="664">
        <f>'Non-State'!CH134</f>
        <v>608772.66</v>
      </c>
      <c r="M124" s="664">
        <f>'Non-State'!CB134</f>
        <v>0</v>
      </c>
    </row>
    <row r="125" spans="2:13" x14ac:dyDescent="0.25">
      <c r="B125" s="661" t="str">
        <f>'Non-State'!C135</f>
        <v>308032701</v>
      </c>
      <c r="C125" s="661" t="str">
        <f>'Non-State'!D135</f>
        <v>308032701</v>
      </c>
      <c r="D125" s="662" t="str">
        <f>'Non-State'!F135</f>
        <v>Pampa Regional Medical Center</v>
      </c>
      <c r="E125" s="663" t="s">
        <v>63</v>
      </c>
      <c r="F125" s="664">
        <f>'Non-State'!BG135</f>
        <v>0</v>
      </c>
      <c r="G125" s="664">
        <f>'Non-State'!BH135</f>
        <v>0</v>
      </c>
      <c r="H125" s="664">
        <f>'Non-State'!BJ135</f>
        <v>1063330.32</v>
      </c>
      <c r="I125" s="664">
        <f>'Non-State'!BO135</f>
        <v>0</v>
      </c>
      <c r="J125" s="664">
        <f>'Non-State'!BL135</f>
        <v>1063330.32</v>
      </c>
      <c r="K125" s="664">
        <f>'Non-State'!BR135</f>
        <v>0</v>
      </c>
      <c r="L125" s="664">
        <f>'Non-State'!CH135</f>
        <v>1340870.03</v>
      </c>
      <c r="M125" s="664">
        <f>'Non-State'!CB135</f>
        <v>0</v>
      </c>
    </row>
    <row r="126" spans="2:13" x14ac:dyDescent="0.25">
      <c r="B126" s="661" t="str">
        <f>'Non-State'!C136</f>
        <v>314080801</v>
      </c>
      <c r="C126" s="661" t="str">
        <f>'Non-State'!D136</f>
        <v>314080801</v>
      </c>
      <c r="D126" s="662" t="str">
        <f>'Non-State'!F136</f>
        <v>Texas Health Huguley Hosptial Fort Worth South</v>
      </c>
      <c r="E126" s="663" t="s">
        <v>63</v>
      </c>
      <c r="F126" s="664">
        <f>'Non-State'!BG136</f>
        <v>0</v>
      </c>
      <c r="G126" s="664">
        <f>'Non-State'!BH136</f>
        <v>0</v>
      </c>
      <c r="H126" s="664">
        <f>'Non-State'!BJ136</f>
        <v>6000000</v>
      </c>
      <c r="I126" s="664">
        <f>'Non-State'!BO136</f>
        <v>0</v>
      </c>
      <c r="J126" s="664">
        <f>'Non-State'!BL136</f>
        <v>6000000</v>
      </c>
      <c r="K126" s="664">
        <f>'Non-State'!BR136</f>
        <v>0</v>
      </c>
      <c r="L126" s="664">
        <f>'Non-State'!CH136</f>
        <v>6000000</v>
      </c>
      <c r="M126" s="664">
        <f>'Non-State'!CB136</f>
        <v>0</v>
      </c>
    </row>
    <row r="127" spans="2:13" x14ac:dyDescent="0.25">
      <c r="B127" s="661" t="str">
        <f>'Non-State'!C137</f>
        <v>315440301</v>
      </c>
      <c r="C127" s="661" t="str">
        <f>'Non-State'!D137</f>
        <v>315440301</v>
      </c>
      <c r="D127" s="662" t="str">
        <f>'Non-State'!F137</f>
        <v>NA</v>
      </c>
      <c r="E127" s="663" t="s">
        <v>63</v>
      </c>
      <c r="F127" s="664">
        <f>'Non-State'!BG137</f>
        <v>0</v>
      </c>
      <c r="G127" s="664">
        <f>'Non-State'!BH137</f>
        <v>0</v>
      </c>
      <c r="H127" s="664">
        <f>'Non-State'!BJ137</f>
        <v>18033631.789999999</v>
      </c>
      <c r="I127" s="664">
        <f>'Non-State'!BO137</f>
        <v>0</v>
      </c>
      <c r="J127" s="664">
        <f>'Non-State'!BL137</f>
        <v>18033631.789999999</v>
      </c>
      <c r="K127" s="664">
        <f>'Non-State'!BR137</f>
        <v>0</v>
      </c>
      <c r="L127" s="664">
        <f>'Non-State'!CH137</f>
        <v>18033631.789999999</v>
      </c>
      <c r="M127" s="664">
        <f>'Non-State'!CB137</f>
        <v>0</v>
      </c>
    </row>
    <row r="128" spans="2:13" x14ac:dyDescent="0.25">
      <c r="B128" s="661" t="str">
        <f>'Non-State'!C138</f>
        <v>316360201</v>
      </c>
      <c r="C128" s="661" t="str">
        <f>'Non-State'!D138</f>
        <v>316360201</v>
      </c>
      <c r="D128" s="662" t="str">
        <f>'Non-State'!F138</f>
        <v>Coleman County Medical Center</v>
      </c>
      <c r="E128" s="663" t="s">
        <v>63</v>
      </c>
      <c r="F128" s="664">
        <f>'Non-State'!BG138</f>
        <v>0</v>
      </c>
      <c r="G128" s="664">
        <f>'Non-State'!BH138</f>
        <v>0</v>
      </c>
      <c r="H128" s="664">
        <f>'Non-State'!BJ138</f>
        <v>783740.74</v>
      </c>
      <c r="I128" s="664">
        <f>'Non-State'!BO138</f>
        <v>0</v>
      </c>
      <c r="J128" s="664">
        <f>'Non-State'!BL138</f>
        <v>783740.74</v>
      </c>
      <c r="K128" s="664">
        <f>'Non-State'!BR138</f>
        <v>0</v>
      </c>
      <c r="L128" s="664">
        <f>'Non-State'!CH138</f>
        <v>988304.81</v>
      </c>
      <c r="M128" s="664">
        <f>'Non-State'!CB138</f>
        <v>0</v>
      </c>
    </row>
    <row r="129" spans="2:13" x14ac:dyDescent="0.25">
      <c r="B129" s="661" t="str">
        <f>'Non-State'!C139</f>
        <v>322879301</v>
      </c>
      <c r="C129" s="661" t="str">
        <f>'Non-State'!D139</f>
        <v>322879301</v>
      </c>
      <c r="D129" s="662" t="str">
        <f>'Non-State'!F139</f>
        <v>Baptist St. Anthony's Hospital</v>
      </c>
      <c r="E129" s="663" t="s">
        <v>63</v>
      </c>
      <c r="F129" s="664">
        <f>'Non-State'!BG139</f>
        <v>0</v>
      </c>
      <c r="G129" s="664">
        <f>'Non-State'!BH139</f>
        <v>0</v>
      </c>
      <c r="H129" s="664">
        <f>'Non-State'!BJ139</f>
        <v>9103787.0800000001</v>
      </c>
      <c r="I129" s="664">
        <f>'Non-State'!BO139</f>
        <v>0</v>
      </c>
      <c r="J129" s="664">
        <f>'Non-State'!BL139</f>
        <v>9103787.0800000001</v>
      </c>
      <c r="K129" s="664">
        <f>'Non-State'!BR139</f>
        <v>0</v>
      </c>
      <c r="L129" s="664">
        <f>'Non-State'!CH139</f>
        <v>9103787.0800000001</v>
      </c>
      <c r="M129" s="664">
        <f>'Non-State'!CB139</f>
        <v>0</v>
      </c>
    </row>
    <row r="130" spans="2:13" x14ac:dyDescent="0.25">
      <c r="B130" s="661" t="str">
        <f>'Non-State'!C140</f>
        <v>326725404</v>
      </c>
      <c r="C130" s="661" t="str">
        <f>'Non-State'!D140</f>
        <v>326725404</v>
      </c>
      <c r="D130" s="662" t="str">
        <f>'Non-State'!F140</f>
        <v>Scott &amp; White Hospital - College Station</v>
      </c>
      <c r="E130" s="663" t="s">
        <v>63</v>
      </c>
      <c r="F130" s="664">
        <f>'Non-State'!BG140</f>
        <v>0</v>
      </c>
      <c r="G130" s="664">
        <f>'Non-State'!BH140</f>
        <v>0</v>
      </c>
      <c r="H130" s="664">
        <f>'Non-State'!BJ140</f>
        <v>6000000</v>
      </c>
      <c r="I130" s="664">
        <f>'Non-State'!BO140</f>
        <v>0</v>
      </c>
      <c r="J130" s="664">
        <f>'Non-State'!BL140</f>
        <v>6000000</v>
      </c>
      <c r="K130" s="664">
        <f>'Non-State'!BR140</f>
        <v>0</v>
      </c>
      <c r="L130" s="664">
        <f>'Non-State'!CH140</f>
        <v>6000000</v>
      </c>
      <c r="M130" s="664">
        <f>'Non-State'!CB140</f>
        <v>0</v>
      </c>
    </row>
    <row r="131" spans="2:13" x14ac:dyDescent="0.25">
      <c r="B131" s="661" t="str">
        <f>'Non-State'!C141</f>
        <v>333289201</v>
      </c>
      <c r="C131" s="661" t="str">
        <f>'Non-State'!D141</f>
        <v>333289201</v>
      </c>
      <c r="D131" s="662" t="str">
        <f>'Non-State'!F141</f>
        <v>Dallas Behavioral Healthcare Hospital, Llc</v>
      </c>
      <c r="E131" s="663" t="s">
        <v>63</v>
      </c>
      <c r="F131" s="664">
        <f>'Non-State'!BG141</f>
        <v>0</v>
      </c>
      <c r="G131" s="664">
        <f>'Non-State'!BH141</f>
        <v>0</v>
      </c>
      <c r="H131" s="664">
        <f>'Non-State'!BJ141</f>
        <v>1431483.95</v>
      </c>
      <c r="I131" s="664">
        <f>'Non-State'!BO141</f>
        <v>0</v>
      </c>
      <c r="J131" s="664">
        <f>'Non-State'!BL141</f>
        <v>1431483.95</v>
      </c>
      <c r="K131" s="664">
        <f>'Non-State'!BR141</f>
        <v>0</v>
      </c>
      <c r="L131" s="664">
        <f>'Non-State'!CH141</f>
        <v>1431483.95</v>
      </c>
      <c r="M131" s="664">
        <f>'Non-State'!CB141</f>
        <v>0</v>
      </c>
    </row>
    <row r="132" spans="2:13" x14ac:dyDescent="0.25">
      <c r="B132" s="661" t="str">
        <f>'Non-State'!C142</f>
        <v>333366801</v>
      </c>
      <c r="C132" s="661" t="str">
        <f>'Non-State'!D142</f>
        <v>333366801</v>
      </c>
      <c r="D132" s="662" t="str">
        <f>'Non-State'!F142</f>
        <v>Oceans Behavioral Hospital Of Abilene, LLC</v>
      </c>
      <c r="E132" s="663" t="s">
        <v>63</v>
      </c>
      <c r="F132" s="664">
        <f>'Non-State'!BG142</f>
        <v>0</v>
      </c>
      <c r="G132" s="664">
        <f>'Non-State'!BH142</f>
        <v>0</v>
      </c>
      <c r="H132" s="664">
        <f>'Non-State'!BJ142</f>
        <v>1886337.16</v>
      </c>
      <c r="I132" s="664">
        <f>'Non-State'!BO142</f>
        <v>0</v>
      </c>
      <c r="J132" s="664">
        <f>'Non-State'!BL142</f>
        <v>1886337.16</v>
      </c>
      <c r="K132" s="664">
        <f>'Non-State'!BR142</f>
        <v>0</v>
      </c>
      <c r="L132" s="664">
        <f>'Non-State'!CH142</f>
        <v>1886337.16</v>
      </c>
      <c r="M132" s="664">
        <f>'Non-State'!CB142</f>
        <v>0</v>
      </c>
    </row>
    <row r="133" spans="2:13" x14ac:dyDescent="0.25">
      <c r="B133" s="661" t="str">
        <f>'Non-State'!C143</f>
        <v>336658501</v>
      </c>
      <c r="C133" s="661" t="str">
        <f>'Non-State'!D143</f>
        <v>336658501</v>
      </c>
      <c r="D133" s="662" t="str">
        <f>'Non-State'!F143</f>
        <v>Oceans Behavioral Hospital Of The Permian Basin</v>
      </c>
      <c r="E133" s="663" t="s">
        <v>63</v>
      </c>
      <c r="F133" s="664">
        <f>'Non-State'!BG143</f>
        <v>0</v>
      </c>
      <c r="G133" s="664">
        <f>'Non-State'!BH143</f>
        <v>0</v>
      </c>
      <c r="H133" s="664">
        <f>'Non-State'!BJ143</f>
        <v>3246718.97</v>
      </c>
      <c r="I133" s="664">
        <f>'Non-State'!BO143</f>
        <v>0</v>
      </c>
      <c r="J133" s="664">
        <f>'Non-State'!BL143</f>
        <v>3246718.97</v>
      </c>
      <c r="K133" s="664">
        <f>'Non-State'!BR143</f>
        <v>0</v>
      </c>
      <c r="L133" s="664">
        <f>'Non-State'!CH143</f>
        <v>3246718.97</v>
      </c>
      <c r="M133" s="664">
        <f>'Non-State'!CB143</f>
        <v>0</v>
      </c>
    </row>
    <row r="134" spans="2:13" x14ac:dyDescent="0.25">
      <c r="B134" s="661" t="str">
        <f>'Non-State'!C144</f>
        <v>339487601</v>
      </c>
      <c r="C134" s="661" t="str">
        <f>'Non-State'!D144</f>
        <v>339487601</v>
      </c>
      <c r="D134" s="662" t="str">
        <f>'Non-State'!F144</f>
        <v>Mesa Springs, LLC</v>
      </c>
      <c r="E134" s="663" t="s">
        <v>63</v>
      </c>
      <c r="F134" s="664">
        <f>'Non-State'!BG144</f>
        <v>0</v>
      </c>
      <c r="G134" s="664">
        <f>'Non-State'!BH144</f>
        <v>0</v>
      </c>
      <c r="H134" s="664">
        <f>'Non-State'!BJ144</f>
        <v>803250.02</v>
      </c>
      <c r="I134" s="664">
        <f>'Non-State'!BO144</f>
        <v>0</v>
      </c>
      <c r="J134" s="664">
        <f>'Non-State'!BL144</f>
        <v>803250.02</v>
      </c>
      <c r="K134" s="664">
        <f>'Non-State'!BR144</f>
        <v>0</v>
      </c>
      <c r="L134" s="664">
        <f>'Non-State'!CH144</f>
        <v>803250.02</v>
      </c>
      <c r="M134" s="664">
        <f>'Non-State'!CB144</f>
        <v>0</v>
      </c>
    </row>
    <row r="135" spans="2:13" x14ac:dyDescent="0.25">
      <c r="B135" s="661" t="str">
        <f>'Non-State'!C145</f>
        <v>344854001</v>
      </c>
      <c r="C135" s="661" t="str">
        <f>'Non-State'!D145</f>
        <v>344854001</v>
      </c>
      <c r="D135" s="662" t="str">
        <f>'Non-State'!F145</f>
        <v>Westpark Springs, LLC</v>
      </c>
      <c r="E135" s="663" t="s">
        <v>63</v>
      </c>
      <c r="F135" s="664">
        <f>'Non-State'!BG145</f>
        <v>0</v>
      </c>
      <c r="G135" s="664">
        <f>'Non-State'!BH145</f>
        <v>0</v>
      </c>
      <c r="H135" s="664">
        <f>'Non-State'!BJ145</f>
        <v>1194534.82</v>
      </c>
      <c r="I135" s="664">
        <f>'Non-State'!BO145</f>
        <v>0</v>
      </c>
      <c r="J135" s="664">
        <f>'Non-State'!BL145</f>
        <v>1194534.82</v>
      </c>
      <c r="K135" s="664">
        <f>'Non-State'!BR145</f>
        <v>0</v>
      </c>
      <c r="L135" s="664">
        <f>'Non-State'!CH145</f>
        <v>1194534.82</v>
      </c>
      <c r="M135" s="664">
        <f>'Non-State'!CB145</f>
        <v>0</v>
      </c>
    </row>
    <row r="136" spans="2:13" x14ac:dyDescent="0.25">
      <c r="B136" s="661" t="str">
        <f>'Non-State'!C146</f>
        <v>345305201</v>
      </c>
      <c r="C136" s="661" t="str">
        <f>'Non-State'!D146</f>
        <v>345305201</v>
      </c>
      <c r="D136" s="662" t="str">
        <f>'Non-State'!F146</f>
        <v>Georgetown Behavioral Health Institute, Llc</v>
      </c>
      <c r="E136" s="663" t="s">
        <v>63</v>
      </c>
      <c r="F136" s="664">
        <f>'Non-State'!BG146</f>
        <v>0</v>
      </c>
      <c r="G136" s="664">
        <f>'Non-State'!BH146</f>
        <v>0</v>
      </c>
      <c r="H136" s="664">
        <f>'Non-State'!BJ146</f>
        <v>358037.6</v>
      </c>
      <c r="I136" s="664">
        <f>'Non-State'!BO146</f>
        <v>0</v>
      </c>
      <c r="J136" s="664">
        <f>'Non-State'!BL146</f>
        <v>358037.6</v>
      </c>
      <c r="K136" s="664">
        <f>'Non-State'!BR146</f>
        <v>0</v>
      </c>
      <c r="L136" s="664">
        <f>'Non-State'!CH146</f>
        <v>358037.6</v>
      </c>
      <c r="M136" s="664">
        <f>'Non-State'!CB146</f>
        <v>0</v>
      </c>
    </row>
    <row r="137" spans="2:13" x14ac:dyDescent="0.25">
      <c r="B137" s="661" t="str">
        <f>'Non-State'!C147</f>
        <v>348990801</v>
      </c>
      <c r="C137" s="661" t="str">
        <f>'Non-State'!D147</f>
        <v>348990801</v>
      </c>
      <c r="D137" s="662" t="str">
        <f>'Non-State'!F147</f>
        <v>Houston Behavioral Healthcare Hospital</v>
      </c>
      <c r="E137" s="663" t="s">
        <v>63</v>
      </c>
      <c r="F137" s="664">
        <f>'Non-State'!BG147</f>
        <v>0</v>
      </c>
      <c r="G137" s="664">
        <f>'Non-State'!BH147</f>
        <v>0</v>
      </c>
      <c r="H137" s="664">
        <f>'Non-State'!BJ147</f>
        <v>1192962.8899999999</v>
      </c>
      <c r="I137" s="664">
        <f>'Non-State'!BO147</f>
        <v>0</v>
      </c>
      <c r="J137" s="664">
        <f>'Non-State'!BL147</f>
        <v>1192962.8899999999</v>
      </c>
      <c r="K137" s="664">
        <f>'Non-State'!BR147</f>
        <v>0</v>
      </c>
      <c r="L137" s="664">
        <f>'Non-State'!CH147</f>
        <v>1192962.8899999999</v>
      </c>
      <c r="M137" s="664">
        <f>'Non-State'!CB147</f>
        <v>0</v>
      </c>
    </row>
    <row r="138" spans="2:13" x14ac:dyDescent="0.25">
      <c r="B138" s="661" t="str">
        <f>'Non-State'!C148</f>
        <v>349059101</v>
      </c>
      <c r="C138" s="661" t="str">
        <f>'Non-State'!D148</f>
        <v>349059101</v>
      </c>
      <c r="D138" s="662" t="str">
        <f>'Non-State'!F148</f>
        <v>San Antonio Behavioral Healthcare Hospital</v>
      </c>
      <c r="E138" s="663" t="s">
        <v>63</v>
      </c>
      <c r="F138" s="664">
        <f>'Non-State'!BG148</f>
        <v>0</v>
      </c>
      <c r="G138" s="664">
        <f>'Non-State'!BH148</f>
        <v>0</v>
      </c>
      <c r="H138" s="664">
        <f>'Non-State'!BJ148</f>
        <v>822145.16</v>
      </c>
      <c r="I138" s="664">
        <f>'Non-State'!BO148</f>
        <v>0</v>
      </c>
      <c r="J138" s="664">
        <f>'Non-State'!BL148</f>
        <v>822145.16</v>
      </c>
      <c r="K138" s="664">
        <f>'Non-State'!BR148</f>
        <v>0</v>
      </c>
      <c r="L138" s="664">
        <f>'Non-State'!CH148</f>
        <v>822145.16</v>
      </c>
      <c r="M138" s="664">
        <f>'Non-State'!CB148</f>
        <v>0</v>
      </c>
    </row>
    <row r="139" spans="2:13" x14ac:dyDescent="0.25">
      <c r="B139" s="661" t="str">
        <f>'Non-State'!C149</f>
        <v>354018901</v>
      </c>
      <c r="C139" s="661" t="str">
        <f>'Non-State'!D149</f>
        <v>354018901</v>
      </c>
      <c r="D139" s="662" t="str">
        <f>'Non-State'!F149</f>
        <v>Dallas Regional Medical Center</v>
      </c>
      <c r="E139" s="663" t="s">
        <v>63</v>
      </c>
      <c r="F139" s="664">
        <f>'Non-State'!BG149</f>
        <v>0</v>
      </c>
      <c r="G139" s="664">
        <f>'Non-State'!BH149</f>
        <v>0</v>
      </c>
      <c r="H139" s="664">
        <f>'Non-State'!BJ149</f>
        <v>6000000</v>
      </c>
      <c r="I139" s="664">
        <f>'Non-State'!BO149</f>
        <v>0</v>
      </c>
      <c r="J139" s="664">
        <f>'Non-State'!BL149</f>
        <v>6000000</v>
      </c>
      <c r="K139" s="664">
        <f>'Non-State'!BR149</f>
        <v>0</v>
      </c>
      <c r="L139" s="664">
        <f>'Non-State'!CH149</f>
        <v>6000000</v>
      </c>
      <c r="M139" s="664">
        <f>'Non-State'!CB149</f>
        <v>0</v>
      </c>
    </row>
    <row r="140" spans="2:13" x14ac:dyDescent="0.25">
      <c r="B140" s="661" t="str">
        <f>'Non-State'!C150</f>
        <v>361635101</v>
      </c>
      <c r="C140" s="661" t="str">
        <f>'Non-State'!D150</f>
        <v>361635101</v>
      </c>
      <c r="D140" s="662" t="str">
        <f>'Non-State'!F150</f>
        <v>SUN Behavioral Houston</v>
      </c>
      <c r="E140" s="663" t="s">
        <v>63</v>
      </c>
      <c r="F140" s="664">
        <f>'Non-State'!BG150</f>
        <v>0</v>
      </c>
      <c r="G140" s="664">
        <f>'Non-State'!BH150</f>
        <v>0</v>
      </c>
      <c r="H140" s="664">
        <f>'Non-State'!BJ150</f>
        <v>2914436.65</v>
      </c>
      <c r="I140" s="664">
        <f>'Non-State'!BO150</f>
        <v>0</v>
      </c>
      <c r="J140" s="664">
        <f>'Non-State'!BL150</f>
        <v>2914436.65</v>
      </c>
      <c r="K140" s="664">
        <f>'Non-State'!BR150</f>
        <v>0</v>
      </c>
      <c r="L140" s="664">
        <f>'Non-State'!CH150</f>
        <v>2914436.65</v>
      </c>
      <c r="M140" s="664">
        <f>'Non-State'!CB150</f>
        <v>0</v>
      </c>
    </row>
    <row r="141" spans="2:13" x14ac:dyDescent="0.25">
      <c r="B141" s="661" t="str">
        <f>'Non-State'!C151</f>
        <v>366812101</v>
      </c>
      <c r="C141" s="661" t="str">
        <f>'Non-State'!D151</f>
        <v>366812101</v>
      </c>
      <c r="D141" s="662" t="str">
        <f>'Non-State'!F151</f>
        <v>CHRISTUS Mother Frances Hospital - Sulphur Springs</v>
      </c>
      <c r="E141" s="663" t="s">
        <v>63</v>
      </c>
      <c r="F141" s="664">
        <f>'Non-State'!BG151</f>
        <v>0</v>
      </c>
      <c r="G141" s="664">
        <f>'Non-State'!BH151</f>
        <v>0</v>
      </c>
      <c r="H141" s="664">
        <f>'Non-State'!BJ151</f>
        <v>5911236.5999999996</v>
      </c>
      <c r="I141" s="664">
        <f>'Non-State'!BO151</f>
        <v>0</v>
      </c>
      <c r="J141" s="664">
        <f>'Non-State'!BL151</f>
        <v>5911236.5999999996</v>
      </c>
      <c r="K141" s="664">
        <f>'Non-State'!BR151</f>
        <v>0</v>
      </c>
      <c r="L141" s="664">
        <f>'Non-State'!CH151</f>
        <v>7454127.71</v>
      </c>
      <c r="M141" s="664">
        <f>'Non-State'!CB151</f>
        <v>0</v>
      </c>
    </row>
    <row r="142" spans="2:13" x14ac:dyDescent="0.25">
      <c r="B142" s="661" t="str">
        <f>'Non-State'!C152</f>
        <v>371439601</v>
      </c>
      <c r="C142" s="661" t="str">
        <f>'Non-State'!D152</f>
        <v>371439601</v>
      </c>
      <c r="D142" s="662" t="str">
        <f>'Non-State'!F152</f>
        <v>Palms Behavioral Health</v>
      </c>
      <c r="E142" s="663" t="s">
        <v>63</v>
      </c>
      <c r="F142" s="664">
        <f>'Non-State'!BG152</f>
        <v>0</v>
      </c>
      <c r="G142" s="664">
        <f>'Non-State'!BH152</f>
        <v>0</v>
      </c>
      <c r="H142" s="664">
        <f>'Non-State'!BJ152</f>
        <v>2463449.9700000002</v>
      </c>
      <c r="I142" s="664">
        <f>'Non-State'!BO152</f>
        <v>0</v>
      </c>
      <c r="J142" s="664">
        <f>'Non-State'!BL152</f>
        <v>2463449.9700000002</v>
      </c>
      <c r="K142" s="664">
        <f>'Non-State'!BR152</f>
        <v>0</v>
      </c>
      <c r="L142" s="664">
        <f>'Non-State'!CH152</f>
        <v>2463449.9700000002</v>
      </c>
      <c r="M142" s="664">
        <f>'Non-State'!CB152</f>
        <v>0</v>
      </c>
    </row>
    <row r="143" spans="2:13" x14ac:dyDescent="0.25">
      <c r="B143" s="661" t="str">
        <f>'Non-State'!C153</f>
        <v>387381201</v>
      </c>
      <c r="C143" s="661" t="str">
        <f>'Non-State'!D153</f>
        <v>387381201</v>
      </c>
      <c r="D143" s="662" t="str">
        <f>'Non-State'!F153</f>
        <v>UT Health Jacksonville</v>
      </c>
      <c r="E143" s="663" t="s">
        <v>63</v>
      </c>
      <c r="F143" s="664">
        <f>'Non-State'!BG153</f>
        <v>0</v>
      </c>
      <c r="G143" s="664">
        <f>'Non-State'!BH153</f>
        <v>0</v>
      </c>
      <c r="H143" s="664">
        <f>'Non-State'!BJ153</f>
        <v>4371405.63</v>
      </c>
      <c r="I143" s="664">
        <f>'Non-State'!BO153</f>
        <v>0</v>
      </c>
      <c r="J143" s="664">
        <f>'Non-State'!BL153</f>
        <v>4371405.63</v>
      </c>
      <c r="K143" s="664">
        <f>'Non-State'!BR153</f>
        <v>0</v>
      </c>
      <c r="L143" s="664">
        <f>'Non-State'!CH153</f>
        <v>5512385.6600000001</v>
      </c>
      <c r="M143" s="664">
        <f>'Non-State'!CB153</f>
        <v>0</v>
      </c>
    </row>
    <row r="144" spans="2:13" x14ac:dyDescent="0.25">
      <c r="B144" s="661" t="str">
        <f>'Non-State'!C154</f>
        <v>387515501</v>
      </c>
      <c r="C144" s="661" t="str">
        <f>'Non-State'!D154</f>
        <v>387515501</v>
      </c>
      <c r="D144" s="662" t="str">
        <f>'Non-State'!F154</f>
        <v>UT Health Athens</v>
      </c>
      <c r="E144" s="663" t="s">
        <v>63</v>
      </c>
      <c r="F144" s="664">
        <f>'Non-State'!BG154</f>
        <v>0</v>
      </c>
      <c r="G144" s="664">
        <f>'Non-State'!BH154</f>
        <v>0</v>
      </c>
      <c r="H144" s="664">
        <f>'Non-State'!BJ154</f>
        <v>5706128.4900000002</v>
      </c>
      <c r="I144" s="664">
        <f>'Non-State'!BO154</f>
        <v>0</v>
      </c>
      <c r="J144" s="664">
        <f>'Non-State'!BL154</f>
        <v>5706128.4900000002</v>
      </c>
      <c r="K144" s="664">
        <f>'Non-State'!BR154</f>
        <v>0</v>
      </c>
      <c r="L144" s="664">
        <f>'Non-State'!CH154</f>
        <v>5706128.4900000002</v>
      </c>
      <c r="M144" s="664">
        <f>'Non-State'!CB154</f>
        <v>0</v>
      </c>
    </row>
    <row r="145" spans="2:13" x14ac:dyDescent="0.25">
      <c r="B145" s="661" t="str">
        <f>'Non-State'!C155</f>
        <v>388347201</v>
      </c>
      <c r="C145" s="661" t="str">
        <f>'Non-State'!D155</f>
        <v>388347201</v>
      </c>
      <c r="D145" s="662" t="str">
        <f>'Non-State'!F155</f>
        <v>UT Health Tyler</v>
      </c>
      <c r="E145" s="663" t="s">
        <v>63</v>
      </c>
      <c r="F145" s="664">
        <f>'Non-State'!BG155</f>
        <v>0</v>
      </c>
      <c r="G145" s="664">
        <f>'Non-State'!BH155</f>
        <v>0</v>
      </c>
      <c r="H145" s="664">
        <f>'Non-State'!BJ155</f>
        <v>8000000</v>
      </c>
      <c r="I145" s="664">
        <f>'Non-State'!BO155</f>
        <v>0</v>
      </c>
      <c r="J145" s="664">
        <f>'Non-State'!BL155</f>
        <v>8000000</v>
      </c>
      <c r="K145" s="664">
        <f>'Non-State'!BR155</f>
        <v>0</v>
      </c>
      <c r="L145" s="664">
        <f>'Non-State'!CH155</f>
        <v>8000000</v>
      </c>
      <c r="M145" s="664">
        <f>'Non-State'!CB155</f>
        <v>0</v>
      </c>
    </row>
    <row r="146" spans="2:13" x14ac:dyDescent="0.25">
      <c r="B146" s="661" t="str">
        <f>'Non-State'!C156</f>
        <v>391264401</v>
      </c>
      <c r="C146" s="661" t="str">
        <f>'Non-State'!D156</f>
        <v>391264401</v>
      </c>
      <c r="D146" s="662" t="str">
        <f>'Non-State'!F156</f>
        <v>Woodland Springs, Llc</v>
      </c>
      <c r="E146" s="663" t="s">
        <v>63</v>
      </c>
      <c r="F146" s="664">
        <f>'Non-State'!BG156</f>
        <v>0</v>
      </c>
      <c r="G146" s="664">
        <f>'Non-State'!BH156</f>
        <v>0</v>
      </c>
      <c r="H146" s="664">
        <f>'Non-State'!BJ156</f>
        <v>1896532.2</v>
      </c>
      <c r="I146" s="664">
        <f>'Non-State'!BO156</f>
        <v>0</v>
      </c>
      <c r="J146" s="664">
        <f>'Non-State'!BL156</f>
        <v>1896532.2</v>
      </c>
      <c r="K146" s="664">
        <f>'Non-State'!BR156</f>
        <v>0</v>
      </c>
      <c r="L146" s="664">
        <f>'Non-State'!CH156</f>
        <v>1896532.2</v>
      </c>
      <c r="M146" s="664">
        <f>'Non-State'!CB156</f>
        <v>0</v>
      </c>
    </row>
    <row r="147" spans="2:13" x14ac:dyDescent="0.25">
      <c r="B147" s="661" t="str">
        <f>'Non-State'!C157</f>
        <v>391575301</v>
      </c>
      <c r="C147" s="661" t="str">
        <f>'Non-State'!D157</f>
        <v>391575301</v>
      </c>
      <c r="D147" s="662" t="str">
        <f>'Non-State'!F157</f>
        <v>White Rock Medical Center</v>
      </c>
      <c r="E147" s="663" t="s">
        <v>63</v>
      </c>
      <c r="F147" s="664">
        <f>'Non-State'!BG157</f>
        <v>0</v>
      </c>
      <c r="G147" s="664">
        <f>'Non-State'!BH157</f>
        <v>0</v>
      </c>
      <c r="H147" s="664">
        <f>'Non-State'!BJ157</f>
        <v>6000000</v>
      </c>
      <c r="I147" s="664">
        <f>'Non-State'!BO157</f>
        <v>0</v>
      </c>
      <c r="J147" s="664">
        <f>'Non-State'!BL157</f>
        <v>6000000</v>
      </c>
      <c r="K147" s="664">
        <f>'Non-State'!BR157</f>
        <v>0</v>
      </c>
      <c r="L147" s="664">
        <f>'Non-State'!CH157</f>
        <v>6000000</v>
      </c>
      <c r="M147" s="664">
        <f>'Non-State'!CB157</f>
        <v>0</v>
      </c>
    </row>
    <row r="148" spans="2:13" x14ac:dyDescent="0.25">
      <c r="B148" s="661" t="str">
        <f>'Non-State'!C158</f>
        <v>401736001</v>
      </c>
      <c r="C148" s="661" t="str">
        <f>'Non-State'!D158</f>
        <v>401736001</v>
      </c>
      <c r="D148" s="662" t="str">
        <f>'Non-State'!F158</f>
        <v>Goodall-Witcher Hospital</v>
      </c>
      <c r="E148" s="663" t="s">
        <v>63</v>
      </c>
      <c r="F148" s="664">
        <f>'Non-State'!BG158</f>
        <v>0</v>
      </c>
      <c r="G148" s="664">
        <f>'Non-State'!BH158</f>
        <v>0</v>
      </c>
      <c r="H148" s="664">
        <f>'Non-State'!BJ158</f>
        <v>1646459.02</v>
      </c>
      <c r="I148" s="664">
        <f>'Non-State'!BO158</f>
        <v>578401.06000000006</v>
      </c>
      <c r="J148" s="664">
        <f>'Non-State'!BL158</f>
        <v>1646459.02</v>
      </c>
      <c r="K148" s="664">
        <f>'Non-State'!BR158</f>
        <v>578401.05000000005</v>
      </c>
      <c r="L148" s="664">
        <f>'Non-State'!CH158</f>
        <v>1646459.02</v>
      </c>
      <c r="M148" s="664">
        <f>'Non-State'!CB158</f>
        <v>0</v>
      </c>
    </row>
    <row r="149" spans="2:13" x14ac:dyDescent="0.25">
      <c r="B149" s="661" t="str">
        <f>'Non-State'!C159</f>
        <v>405102101</v>
      </c>
      <c r="C149" s="661" t="str">
        <f>'Non-State'!D159</f>
        <v>405102101</v>
      </c>
      <c r="D149" s="662" t="str">
        <f>'Non-State'!F159</f>
        <v>Scenic Mountain Medical Center</v>
      </c>
      <c r="E149" s="663" t="s">
        <v>63</v>
      </c>
      <c r="F149" s="664">
        <f>'Non-State'!BG159</f>
        <v>0</v>
      </c>
      <c r="G149" s="664">
        <f>'Non-State'!BH159</f>
        <v>0</v>
      </c>
      <c r="H149" s="664">
        <f>'Non-State'!BJ159</f>
        <v>5037542.42</v>
      </c>
      <c r="I149" s="664">
        <f>'Non-State'!BO159</f>
        <v>0</v>
      </c>
      <c r="J149" s="664">
        <f>'Non-State'!BL159</f>
        <v>5037542.42</v>
      </c>
      <c r="K149" s="664">
        <f>'Non-State'!BR159</f>
        <v>0</v>
      </c>
      <c r="L149" s="664">
        <f>'Non-State'!CH159</f>
        <v>6352390.7199999997</v>
      </c>
      <c r="M149" s="664">
        <f>'Non-State'!CB159</f>
        <v>0</v>
      </c>
    </row>
    <row r="150" spans="2:13" x14ac:dyDescent="0.25">
      <c r="B150" s="661" t="str">
        <f>'Non-State'!C160</f>
        <v>406443801</v>
      </c>
      <c r="C150" s="661" t="str">
        <f>'Non-State'!D160</f>
        <v>406443801</v>
      </c>
      <c r="D150" s="662" t="str">
        <f>'Non-State'!F160</f>
        <v>Perimeter Behavioral Hospital Of Arlington, Llc</v>
      </c>
      <c r="E150" s="663" t="s">
        <v>63</v>
      </c>
      <c r="F150" s="664">
        <f>'Non-State'!BG160</f>
        <v>0</v>
      </c>
      <c r="G150" s="664">
        <f>'Non-State'!BH160</f>
        <v>0</v>
      </c>
      <c r="H150" s="664">
        <f>'Non-State'!BJ160</f>
        <v>794424.95</v>
      </c>
      <c r="I150" s="664">
        <f>'Non-State'!BO160</f>
        <v>0</v>
      </c>
      <c r="J150" s="664">
        <f>'Non-State'!BL160</f>
        <v>794424.95</v>
      </c>
      <c r="K150" s="664">
        <f>'Non-State'!BR160</f>
        <v>0</v>
      </c>
      <c r="L150" s="664">
        <f>'Non-State'!CH160</f>
        <v>794424.95</v>
      </c>
      <c r="M150" s="664">
        <f>'Non-State'!CB160</f>
        <v>0</v>
      </c>
    </row>
    <row r="151" spans="2:13" x14ac:dyDescent="0.25">
      <c r="B151" s="661" t="str">
        <f>'Non-State'!C161</f>
        <v>408236401</v>
      </c>
      <c r="C151" s="661" t="str">
        <f>'Non-State'!D161</f>
        <v>408236401</v>
      </c>
      <c r="D151" s="662" t="str">
        <f>'Non-State'!F161</f>
        <v>Perimeter Behavioral Hospital Of Dallas</v>
      </c>
      <c r="E151" s="663" t="s">
        <v>63</v>
      </c>
      <c r="F151" s="664">
        <f>'Non-State'!BG161</f>
        <v>0</v>
      </c>
      <c r="G151" s="664">
        <f>'Non-State'!BH161</f>
        <v>0</v>
      </c>
      <c r="H151" s="664">
        <f>'Non-State'!BJ161</f>
        <v>1021259.76</v>
      </c>
      <c r="I151" s="664">
        <f>'Non-State'!BO161</f>
        <v>0</v>
      </c>
      <c r="J151" s="664">
        <f>'Non-State'!BL161</f>
        <v>1021259.76</v>
      </c>
      <c r="K151" s="664">
        <f>'Non-State'!BR161</f>
        <v>0</v>
      </c>
      <c r="L151" s="664">
        <f>'Non-State'!CH161</f>
        <v>1021259.76</v>
      </c>
      <c r="M151" s="664">
        <f>'Non-State'!CB161</f>
        <v>0</v>
      </c>
    </row>
    <row r="152" spans="2:13" x14ac:dyDescent="0.25">
      <c r="B152" s="661" t="str">
        <f>'Non-State'!C162</f>
        <v>408600101</v>
      </c>
      <c r="C152" s="661" t="str">
        <f>'Non-State'!D162</f>
        <v>408600101</v>
      </c>
      <c r="D152" s="662" t="str">
        <f>'Non-State'!F162</f>
        <v>Covenant Medical Center</v>
      </c>
      <c r="E152" s="663" t="s">
        <v>63</v>
      </c>
      <c r="F152" s="664">
        <f>'Non-State'!BG162</f>
        <v>0</v>
      </c>
      <c r="G152" s="664">
        <f>'Non-State'!BH162</f>
        <v>0</v>
      </c>
      <c r="H152" s="664">
        <f>'Non-State'!BJ162</f>
        <v>8000000</v>
      </c>
      <c r="I152" s="664">
        <f>'Non-State'!BO162</f>
        <v>0</v>
      </c>
      <c r="J152" s="664">
        <f>'Non-State'!BL162</f>
        <v>8000000</v>
      </c>
      <c r="K152" s="664">
        <f>'Non-State'!BR162</f>
        <v>0</v>
      </c>
      <c r="L152" s="664">
        <f>'Non-State'!CH162</f>
        <v>8000000</v>
      </c>
      <c r="M152" s="664">
        <f>'Non-State'!CB162</f>
        <v>0</v>
      </c>
    </row>
    <row r="153" spans="2:13" x14ac:dyDescent="0.25">
      <c r="B153" s="661" t="str">
        <f>'Non-State'!C163</f>
        <v>415580601</v>
      </c>
      <c r="C153" s="661" t="str">
        <f>'Non-State'!D163</f>
        <v>415580601</v>
      </c>
      <c r="D153" s="662" t="str">
        <f>'Non-State'!F163</f>
        <v>DBA CHRISTUS Santa Rosa Hospital-San Marcos</v>
      </c>
      <c r="E153" s="663" t="s">
        <v>63</v>
      </c>
      <c r="F153" s="664">
        <f>'Non-State'!BG163</f>
        <v>0</v>
      </c>
      <c r="G153" s="664">
        <f>'Non-State'!BH163</f>
        <v>0</v>
      </c>
      <c r="H153" s="664">
        <f>'Non-State'!BJ163</f>
        <v>6686756.8099999996</v>
      </c>
      <c r="I153" s="664">
        <f>'Non-State'!BO163</f>
        <v>0</v>
      </c>
      <c r="J153" s="664">
        <f>'Non-State'!BL163</f>
        <v>6686756.8099999996</v>
      </c>
      <c r="K153" s="664">
        <f>'Non-State'!BR163</f>
        <v>0</v>
      </c>
      <c r="L153" s="664">
        <f>'Non-State'!CH163</f>
        <v>6686756.8099999996</v>
      </c>
      <c r="M153" s="664">
        <f>'Non-State'!CB163</f>
        <v>0</v>
      </c>
    </row>
    <row r="154" spans="2:13" x14ac:dyDescent="0.25">
      <c r="B154" s="661" t="str">
        <f>'Non-State'!C164</f>
        <v>420957901</v>
      </c>
      <c r="C154" s="661" t="str">
        <f>'Non-State'!D164</f>
        <v>420957901</v>
      </c>
      <c r="D154" s="662" t="str">
        <f>'Non-State'!F164</f>
        <v>Hendrick Medical Center Brownwood</v>
      </c>
      <c r="E154" s="663" t="s">
        <v>63</v>
      </c>
      <c r="F154" s="664">
        <f>'Non-State'!BG164</f>
        <v>0</v>
      </c>
      <c r="G154" s="664">
        <f>'Non-State'!BH164</f>
        <v>0</v>
      </c>
      <c r="H154" s="664">
        <f>'Non-State'!BJ164</f>
        <v>1375133.28</v>
      </c>
      <c r="I154" s="664">
        <f>'Non-State'!BO164</f>
        <v>0</v>
      </c>
      <c r="J154" s="664">
        <f>'Non-State'!BL164</f>
        <v>1375133.28</v>
      </c>
      <c r="K154" s="664">
        <f>'Non-State'!BR164</f>
        <v>0</v>
      </c>
      <c r="L154" s="664">
        <f>'Non-State'!CH164</f>
        <v>1734056.6400000001</v>
      </c>
      <c r="M154" s="664">
        <f>'Non-State'!CB164</f>
        <v>0</v>
      </c>
    </row>
    <row r="155" spans="2:13" x14ac:dyDescent="0.25">
      <c r="B155" s="661">
        <f>'Non-State'!C165</f>
        <v>0</v>
      </c>
      <c r="C155" s="661">
        <f>'Non-State'!D165</f>
        <v>0</v>
      </c>
      <c r="D155" s="662">
        <f>'Non-State'!F165</f>
        <v>0</v>
      </c>
      <c r="E155" s="663">
        <v>0</v>
      </c>
      <c r="F155" s="664">
        <f>'Non-State'!BG165</f>
        <v>0</v>
      </c>
      <c r="G155" s="664">
        <f>'Non-State'!BH165</f>
        <v>0</v>
      </c>
      <c r="H155" s="664">
        <f>'Non-State'!BJ165</f>
        <v>0</v>
      </c>
      <c r="I155" s="664">
        <f>'Non-State'!BO165</f>
        <v>0</v>
      </c>
      <c r="J155" s="664">
        <f>'Non-State'!BL165</f>
        <v>0</v>
      </c>
      <c r="K155" s="664">
        <f>'Non-State'!BR165</f>
        <v>0</v>
      </c>
      <c r="L155" s="664" t="str">
        <f>'Non-State'!CH165</f>
        <v/>
      </c>
      <c r="M155" s="664" t="str">
        <f>'Non-State'!CB165</f>
        <v/>
      </c>
    </row>
    <row r="156" spans="2:13" x14ac:dyDescent="0.25">
      <c r="B156" s="661">
        <f>'Non-State'!C166</f>
        <v>0</v>
      </c>
      <c r="C156" s="661">
        <f>'Non-State'!D166</f>
        <v>0</v>
      </c>
      <c r="D156" s="662">
        <f>'Non-State'!F166</f>
        <v>0</v>
      </c>
      <c r="E156" s="663">
        <v>0</v>
      </c>
      <c r="F156" s="664">
        <f>'Non-State'!BG166</f>
        <v>0</v>
      </c>
      <c r="G156" s="664">
        <f>'Non-State'!BH166</f>
        <v>0</v>
      </c>
      <c r="H156" s="664">
        <f>'Non-State'!BJ166</f>
        <v>0</v>
      </c>
      <c r="I156" s="664">
        <f>'Non-State'!BO166</f>
        <v>0</v>
      </c>
      <c r="J156" s="664">
        <f>'Non-State'!BL166</f>
        <v>0</v>
      </c>
      <c r="K156" s="664">
        <f>'Non-State'!BR166</f>
        <v>0</v>
      </c>
      <c r="L156" s="664" t="str">
        <f>'Non-State'!CH166</f>
        <v/>
      </c>
      <c r="M156" s="664" t="str">
        <f>'Non-State'!CB166</f>
        <v/>
      </c>
    </row>
    <row r="157" spans="2:13" x14ac:dyDescent="0.25">
      <c r="B157" s="661">
        <f>'Non-State'!C167</f>
        <v>0</v>
      </c>
      <c r="C157" s="661">
        <f>'Non-State'!D167</f>
        <v>0</v>
      </c>
      <c r="D157" s="662">
        <f>'Non-State'!F167</f>
        <v>0</v>
      </c>
      <c r="E157" s="663">
        <v>0</v>
      </c>
      <c r="F157" s="664">
        <f>'Non-State'!BG167</f>
        <v>0</v>
      </c>
      <c r="G157" s="664">
        <f>'Non-State'!BH167</f>
        <v>0</v>
      </c>
      <c r="H157" s="664">
        <f>'Non-State'!BJ167</f>
        <v>0</v>
      </c>
      <c r="I157" s="664">
        <f>'Non-State'!BO167</f>
        <v>0</v>
      </c>
      <c r="J157" s="664">
        <f>'Non-State'!BL167</f>
        <v>0</v>
      </c>
      <c r="K157" s="664">
        <f>'Non-State'!BR167</f>
        <v>0</v>
      </c>
      <c r="L157" s="664">
        <f>'Non-State'!CH167</f>
        <v>0</v>
      </c>
      <c r="M157" s="664">
        <f>'Non-State'!CB167</f>
        <v>0</v>
      </c>
    </row>
    <row r="158" spans="2:13" x14ac:dyDescent="0.25">
      <c r="B158" s="661">
        <f>'Non-State'!C168</f>
        <v>0</v>
      </c>
      <c r="C158" s="661">
        <f>'Non-State'!D168</f>
        <v>0</v>
      </c>
      <c r="D158" s="662">
        <f>'Non-State'!F168</f>
        <v>0</v>
      </c>
      <c r="E158" s="663">
        <v>0</v>
      </c>
      <c r="F158" s="664">
        <f>'Non-State'!BG168</f>
        <v>0</v>
      </c>
      <c r="G158" s="664">
        <f>'Non-State'!BH168</f>
        <v>0</v>
      </c>
      <c r="H158" s="664">
        <f>'Non-State'!BJ168</f>
        <v>0</v>
      </c>
      <c r="I158" s="664">
        <f>'Non-State'!BO168</f>
        <v>0</v>
      </c>
      <c r="J158" s="664">
        <f>'Non-State'!BL168</f>
        <v>0</v>
      </c>
      <c r="K158" s="664">
        <f>'Non-State'!BR168</f>
        <v>0</v>
      </c>
      <c r="L158" s="664">
        <f>'Non-State'!CH168</f>
        <v>0</v>
      </c>
      <c r="M158" s="664">
        <f>'Non-State'!CB168</f>
        <v>0</v>
      </c>
    </row>
    <row r="159" spans="2:13" x14ac:dyDescent="0.25">
      <c r="B159" s="661">
        <f>'Non-State'!C169</f>
        <v>0</v>
      </c>
      <c r="C159" s="661">
        <f>'Non-State'!D169</f>
        <v>0</v>
      </c>
      <c r="D159" s="662">
        <f>'Non-State'!F169</f>
        <v>0</v>
      </c>
      <c r="E159" s="663">
        <v>0</v>
      </c>
      <c r="F159" s="664">
        <f>'Non-State'!BG169</f>
        <v>0</v>
      </c>
      <c r="G159" s="664">
        <f>'Non-State'!BH169</f>
        <v>0</v>
      </c>
      <c r="H159" s="664">
        <f>'Non-State'!BJ169</f>
        <v>0</v>
      </c>
      <c r="I159" s="664">
        <f>'Non-State'!BO169</f>
        <v>0</v>
      </c>
      <c r="J159" s="664">
        <f>'Non-State'!BL169</f>
        <v>0</v>
      </c>
      <c r="K159" s="664">
        <f>'Non-State'!BR169</f>
        <v>0</v>
      </c>
      <c r="L159" s="664">
        <f>'Non-State'!CH169</f>
        <v>0</v>
      </c>
      <c r="M159" s="664">
        <f>'Non-State'!CB169</f>
        <v>0</v>
      </c>
    </row>
    <row r="160" spans="2:13" x14ac:dyDescent="0.25">
      <c r="B160" s="661">
        <f>'Non-State'!C170</f>
        <v>0</v>
      </c>
      <c r="C160" s="661">
        <f>'Non-State'!D170</f>
        <v>0</v>
      </c>
      <c r="D160" s="662">
        <f>'Non-State'!F170</f>
        <v>0</v>
      </c>
      <c r="E160" s="663">
        <v>0</v>
      </c>
      <c r="F160" s="664">
        <f>'Non-State'!BG170</f>
        <v>0</v>
      </c>
      <c r="G160" s="664">
        <f>'Non-State'!BH170</f>
        <v>0</v>
      </c>
      <c r="H160" s="664">
        <f>'Non-State'!BJ170</f>
        <v>0</v>
      </c>
      <c r="I160" s="664">
        <f>'Non-State'!BO170</f>
        <v>0</v>
      </c>
      <c r="J160" s="664">
        <f>'Non-State'!BL170</f>
        <v>0</v>
      </c>
      <c r="K160" s="664">
        <f>'Non-State'!BR170</f>
        <v>0</v>
      </c>
      <c r="L160" s="664">
        <f>'Non-State'!CH170</f>
        <v>0</v>
      </c>
      <c r="M160" s="664">
        <f>'Non-State'!CB170</f>
        <v>0</v>
      </c>
    </row>
    <row r="161" spans="2:13" x14ac:dyDescent="0.25">
      <c r="B161" s="661">
        <f>'Non-State'!C171</f>
        <v>0</v>
      </c>
      <c r="C161" s="661">
        <f>'Non-State'!D171</f>
        <v>0</v>
      </c>
      <c r="D161" s="662">
        <f>'Non-State'!F171</f>
        <v>0</v>
      </c>
      <c r="E161" s="663">
        <v>0</v>
      </c>
      <c r="F161" s="664">
        <f>'Non-State'!BG171</f>
        <v>0</v>
      </c>
      <c r="G161" s="664">
        <f>'Non-State'!BH171</f>
        <v>0</v>
      </c>
      <c r="H161" s="664">
        <f>'Non-State'!BJ171</f>
        <v>0</v>
      </c>
      <c r="I161" s="664">
        <f>'Non-State'!BO171</f>
        <v>0</v>
      </c>
      <c r="J161" s="664">
        <f>'Non-State'!BL171</f>
        <v>0</v>
      </c>
      <c r="K161" s="664">
        <f>'Non-State'!BR171</f>
        <v>0</v>
      </c>
      <c r="L161" s="664">
        <f>'Non-State'!CH171</f>
        <v>0</v>
      </c>
      <c r="M161" s="664">
        <f>'Non-State'!CB171</f>
        <v>0</v>
      </c>
    </row>
    <row r="162" spans="2:13" x14ac:dyDescent="0.25">
      <c r="B162" s="661">
        <f>'Non-State'!C172</f>
        <v>0</v>
      </c>
      <c r="C162" s="661">
        <f>'Non-State'!D172</f>
        <v>0</v>
      </c>
      <c r="D162" s="662">
        <f>'Non-State'!F172</f>
        <v>0</v>
      </c>
      <c r="E162" s="663">
        <v>0</v>
      </c>
      <c r="F162" s="664">
        <f>'Non-State'!BG172</f>
        <v>0</v>
      </c>
      <c r="G162" s="664">
        <f>'Non-State'!BH172</f>
        <v>0</v>
      </c>
      <c r="H162" s="664">
        <f>'Non-State'!BJ172</f>
        <v>0</v>
      </c>
      <c r="I162" s="664">
        <f>'Non-State'!BO172</f>
        <v>0</v>
      </c>
      <c r="J162" s="664">
        <f>'Non-State'!BL172</f>
        <v>0</v>
      </c>
      <c r="K162" s="664">
        <f>'Non-State'!BR172</f>
        <v>0</v>
      </c>
      <c r="L162" s="664">
        <f>'Non-State'!CH172</f>
        <v>0</v>
      </c>
      <c r="M162" s="664">
        <f>'Non-State'!CB172</f>
        <v>0</v>
      </c>
    </row>
    <row r="163" spans="2:13" x14ac:dyDescent="0.25">
      <c r="B163" s="661">
        <f>'Non-State'!C173</f>
        <v>0</v>
      </c>
      <c r="C163" s="661">
        <f>'Non-State'!D173</f>
        <v>0</v>
      </c>
      <c r="D163" s="662">
        <f>'Non-State'!F173</f>
        <v>0</v>
      </c>
      <c r="E163" s="663">
        <v>0</v>
      </c>
      <c r="F163" s="664">
        <f>'Non-State'!BG173</f>
        <v>0</v>
      </c>
      <c r="G163" s="664">
        <f>'Non-State'!BH173</f>
        <v>0</v>
      </c>
      <c r="H163" s="664">
        <f>'Non-State'!BJ173</f>
        <v>0</v>
      </c>
      <c r="I163" s="664">
        <f>'Non-State'!BO173</f>
        <v>0</v>
      </c>
      <c r="J163" s="664">
        <f>'Non-State'!BL173</f>
        <v>0</v>
      </c>
      <c r="K163" s="664">
        <f>'Non-State'!BR173</f>
        <v>0</v>
      </c>
      <c r="L163" s="664">
        <f>'Non-State'!CH173</f>
        <v>0</v>
      </c>
      <c r="M163" s="664">
        <f>'Non-State'!CB173</f>
        <v>0</v>
      </c>
    </row>
    <row r="164" spans="2:13" x14ac:dyDescent="0.25">
      <c r="B164" s="661">
        <f>'Non-State'!C174</f>
        <v>0</v>
      </c>
      <c r="C164" s="661">
        <f>'Non-State'!D174</f>
        <v>0</v>
      </c>
      <c r="D164" s="662">
        <f>'Non-State'!F174</f>
        <v>0</v>
      </c>
      <c r="E164" s="663">
        <v>0</v>
      </c>
      <c r="F164" s="664">
        <f>'Non-State'!BG174</f>
        <v>0</v>
      </c>
      <c r="G164" s="664">
        <f>'Non-State'!BH174</f>
        <v>0</v>
      </c>
      <c r="H164" s="664">
        <f>'Non-State'!BJ174</f>
        <v>0</v>
      </c>
      <c r="I164" s="664">
        <f>'Non-State'!BO174</f>
        <v>0</v>
      </c>
      <c r="J164" s="664">
        <f>'Non-State'!BL174</f>
        <v>0</v>
      </c>
      <c r="K164" s="664">
        <f>'Non-State'!BR174</f>
        <v>0</v>
      </c>
      <c r="L164" s="664">
        <f>'Non-State'!CH174</f>
        <v>0</v>
      </c>
      <c r="M164" s="664">
        <f>'Non-State'!CB174</f>
        <v>0</v>
      </c>
    </row>
    <row r="165" spans="2:13" x14ac:dyDescent="0.25">
      <c r="B165" s="661">
        <f>'Non-State'!C175</f>
        <v>0</v>
      </c>
      <c r="C165" s="661">
        <f>'Non-State'!D175</f>
        <v>0</v>
      </c>
      <c r="D165" s="662">
        <f>'Non-State'!F175</f>
        <v>0</v>
      </c>
      <c r="E165" s="663">
        <v>0</v>
      </c>
      <c r="F165" s="664">
        <f>'Non-State'!BG175</f>
        <v>0</v>
      </c>
      <c r="G165" s="664">
        <f>'Non-State'!BH175</f>
        <v>0</v>
      </c>
      <c r="H165" s="664">
        <f>'Non-State'!BJ175</f>
        <v>0</v>
      </c>
      <c r="I165" s="664">
        <f>'Non-State'!BO175</f>
        <v>0</v>
      </c>
      <c r="J165" s="664">
        <f>'Non-State'!BL175</f>
        <v>0</v>
      </c>
      <c r="K165" s="664">
        <f>'Non-State'!BR175</f>
        <v>0</v>
      </c>
      <c r="L165" s="664">
        <f>'Non-State'!CH175</f>
        <v>0</v>
      </c>
      <c r="M165" s="664">
        <f>'Non-State'!CB175</f>
        <v>0</v>
      </c>
    </row>
    <row r="166" spans="2:13" x14ac:dyDescent="0.25">
      <c r="B166" s="661">
        <f>'Non-State'!C176</f>
        <v>0</v>
      </c>
      <c r="C166" s="661">
        <f>'Non-State'!D176</f>
        <v>0</v>
      </c>
      <c r="D166" s="662">
        <f>'Non-State'!F176</f>
        <v>0</v>
      </c>
      <c r="E166" s="663">
        <v>0</v>
      </c>
      <c r="F166" s="664">
        <f>'Non-State'!BG176</f>
        <v>0</v>
      </c>
      <c r="G166" s="664">
        <f>'Non-State'!BH176</f>
        <v>0</v>
      </c>
      <c r="H166" s="664">
        <f>'Non-State'!BJ176</f>
        <v>0</v>
      </c>
      <c r="I166" s="664">
        <f>'Non-State'!BO176</f>
        <v>0</v>
      </c>
      <c r="J166" s="664">
        <f>'Non-State'!BL176</f>
        <v>0</v>
      </c>
      <c r="K166" s="664">
        <f>'Non-State'!BR176</f>
        <v>0</v>
      </c>
      <c r="L166" s="664">
        <f>'Non-State'!CH176</f>
        <v>0</v>
      </c>
      <c r="M166" s="664">
        <f>'Non-State'!CB176</f>
        <v>0</v>
      </c>
    </row>
    <row r="167" spans="2:13" x14ac:dyDescent="0.25">
      <c r="B167" s="661">
        <f>'Non-State'!C177</f>
        <v>0</v>
      </c>
      <c r="C167" s="661">
        <f>'Non-State'!D177</f>
        <v>0</v>
      </c>
      <c r="D167" s="662">
        <f>'Non-State'!F177</f>
        <v>0</v>
      </c>
      <c r="E167" s="663">
        <v>0</v>
      </c>
      <c r="F167" s="664">
        <f>'Non-State'!BG177</f>
        <v>0</v>
      </c>
      <c r="G167" s="664">
        <f>'Non-State'!BH177</f>
        <v>0</v>
      </c>
      <c r="H167" s="664">
        <f>'Non-State'!BJ177</f>
        <v>0</v>
      </c>
      <c r="I167" s="664">
        <f>'Non-State'!BO177</f>
        <v>0</v>
      </c>
      <c r="J167" s="664">
        <f>'Non-State'!BL177</f>
        <v>0</v>
      </c>
      <c r="K167" s="664">
        <f>'Non-State'!BR177</f>
        <v>0</v>
      </c>
      <c r="L167" s="664">
        <f>'Non-State'!CH177</f>
        <v>0</v>
      </c>
      <c r="M167" s="664">
        <f>'Non-State'!CB177</f>
        <v>0</v>
      </c>
    </row>
    <row r="168" spans="2:13" x14ac:dyDescent="0.25">
      <c r="B168" s="661">
        <f>'Non-State'!C178</f>
        <v>0</v>
      </c>
      <c r="C168" s="661">
        <f>'Non-State'!D178</f>
        <v>0</v>
      </c>
      <c r="D168" s="662">
        <f>'Non-State'!F178</f>
        <v>0</v>
      </c>
      <c r="E168" s="663">
        <v>0</v>
      </c>
      <c r="F168" s="664">
        <f>'Non-State'!BG178</f>
        <v>0</v>
      </c>
      <c r="G168" s="664">
        <f>'Non-State'!BH178</f>
        <v>0</v>
      </c>
      <c r="H168" s="664">
        <f>'Non-State'!BJ178</f>
        <v>0</v>
      </c>
      <c r="I168" s="664">
        <f>'Non-State'!BO178</f>
        <v>0</v>
      </c>
      <c r="J168" s="664">
        <f>'Non-State'!BL178</f>
        <v>0</v>
      </c>
      <c r="K168" s="664">
        <f>'Non-State'!BR178</f>
        <v>0</v>
      </c>
      <c r="L168" s="664">
        <f>'Non-State'!CH178</f>
        <v>0</v>
      </c>
      <c r="M168" s="664">
        <f>'Non-State'!CB178</f>
        <v>0</v>
      </c>
    </row>
    <row r="169" spans="2:13" x14ac:dyDescent="0.25">
      <c r="B169" s="661">
        <f>'Non-State'!C179</f>
        <v>0</v>
      </c>
      <c r="C169" s="661">
        <f>'Non-State'!D179</f>
        <v>0</v>
      </c>
      <c r="D169" s="662">
        <f>'Non-State'!F179</f>
        <v>0</v>
      </c>
      <c r="E169" s="663">
        <v>0</v>
      </c>
      <c r="F169" s="664">
        <f>'Non-State'!BG179</f>
        <v>0</v>
      </c>
      <c r="G169" s="664">
        <f>'Non-State'!BH179</f>
        <v>0</v>
      </c>
      <c r="H169" s="664">
        <f>'Non-State'!BJ179</f>
        <v>0</v>
      </c>
      <c r="I169" s="664">
        <f>'Non-State'!BO179</f>
        <v>0</v>
      </c>
      <c r="J169" s="664">
        <f>'Non-State'!BL179</f>
        <v>0</v>
      </c>
      <c r="K169" s="664">
        <f>'Non-State'!BR179</f>
        <v>0</v>
      </c>
      <c r="L169" s="664">
        <f>'Non-State'!CH179</f>
        <v>0</v>
      </c>
      <c r="M169" s="664">
        <f>'Non-State'!CB179</f>
        <v>0</v>
      </c>
    </row>
    <row r="170" spans="2:13" x14ac:dyDescent="0.25">
      <c r="B170" s="661">
        <f>'Non-State'!C180</f>
        <v>0</v>
      </c>
      <c r="C170" s="661">
        <f>'Non-State'!D180</f>
        <v>0</v>
      </c>
      <c r="D170" s="662">
        <f>'Non-State'!F180</f>
        <v>0</v>
      </c>
      <c r="E170" s="663">
        <v>0</v>
      </c>
      <c r="F170" s="664">
        <f>'Non-State'!BG180</f>
        <v>0</v>
      </c>
      <c r="G170" s="664">
        <f>'Non-State'!BH180</f>
        <v>0</v>
      </c>
      <c r="H170" s="664">
        <f>'Non-State'!BJ180</f>
        <v>0</v>
      </c>
      <c r="I170" s="664">
        <f>'Non-State'!BO180</f>
        <v>0</v>
      </c>
      <c r="J170" s="664">
        <f>'Non-State'!BL180</f>
        <v>0</v>
      </c>
      <c r="K170" s="664">
        <f>'Non-State'!BR180</f>
        <v>0</v>
      </c>
      <c r="L170" s="664">
        <f>'Non-State'!CH180</f>
        <v>0</v>
      </c>
      <c r="M170" s="664">
        <f>'Non-State'!CB180</f>
        <v>0</v>
      </c>
    </row>
    <row r="171" spans="2:13" x14ac:dyDescent="0.25">
      <c r="B171" s="661">
        <f>'Non-State'!C181</f>
        <v>0</v>
      </c>
      <c r="C171" s="661">
        <f>'Non-State'!D181</f>
        <v>0</v>
      </c>
      <c r="D171" s="662">
        <f>'Non-State'!F181</f>
        <v>0</v>
      </c>
      <c r="E171" s="663">
        <v>0</v>
      </c>
      <c r="F171" s="664">
        <f>'Non-State'!BG181</f>
        <v>0</v>
      </c>
      <c r="G171" s="664">
        <f>'Non-State'!BH181</f>
        <v>0</v>
      </c>
      <c r="H171" s="664">
        <f>'Non-State'!BJ181</f>
        <v>0</v>
      </c>
      <c r="I171" s="664">
        <f>'Non-State'!BO181</f>
        <v>0</v>
      </c>
      <c r="J171" s="664">
        <f>'Non-State'!BL181</f>
        <v>0</v>
      </c>
      <c r="K171" s="664">
        <f>'Non-State'!BR181</f>
        <v>0</v>
      </c>
      <c r="L171" s="664">
        <f>'Non-State'!CH181</f>
        <v>0</v>
      </c>
      <c r="M171" s="664">
        <f>'Non-State'!CB181</f>
        <v>0</v>
      </c>
    </row>
    <row r="172" spans="2:13" x14ac:dyDescent="0.25">
      <c r="B172" s="661">
        <f>'Non-State'!C182</f>
        <v>0</v>
      </c>
      <c r="C172" s="661">
        <f>'Non-State'!D182</f>
        <v>0</v>
      </c>
      <c r="D172" s="664">
        <f>'Non-State'!F182</f>
        <v>0</v>
      </c>
      <c r="E172" s="663">
        <v>0</v>
      </c>
      <c r="F172" s="664">
        <f>'Non-State'!BG182</f>
        <v>0</v>
      </c>
      <c r="G172" s="664">
        <f>'Non-State'!BH182</f>
        <v>0</v>
      </c>
      <c r="H172" s="664">
        <f>'Non-State'!BJ182</f>
        <v>0</v>
      </c>
      <c r="I172" s="664">
        <f>'Non-State'!BO182</f>
        <v>0</v>
      </c>
      <c r="J172" s="664">
        <f>'Non-State'!BL182</f>
        <v>0</v>
      </c>
      <c r="K172" s="664">
        <f>'Non-State'!BR182</f>
        <v>0</v>
      </c>
      <c r="L172" s="664">
        <f>'Non-State'!CH182</f>
        <v>0</v>
      </c>
      <c r="M172" s="664">
        <f>'Non-State'!CB182</f>
        <v>0</v>
      </c>
    </row>
    <row r="173" spans="2:13" x14ac:dyDescent="0.25">
      <c r="B173" s="661">
        <f>'Non-State'!C183</f>
        <v>0</v>
      </c>
      <c r="C173" s="661">
        <f>'Non-State'!D183</f>
        <v>0</v>
      </c>
      <c r="D173" s="664">
        <f>'Non-State'!F183</f>
        <v>0</v>
      </c>
      <c r="E173" s="663">
        <v>0</v>
      </c>
      <c r="F173" s="664">
        <f>'Non-State'!BG183</f>
        <v>0</v>
      </c>
      <c r="G173" s="664">
        <f>'Non-State'!BH183</f>
        <v>0</v>
      </c>
      <c r="H173" s="664">
        <f>'Non-State'!BJ183</f>
        <v>0</v>
      </c>
      <c r="I173" s="664">
        <f>'Non-State'!BO183</f>
        <v>0</v>
      </c>
      <c r="J173" s="664">
        <f>'Non-State'!BL183</f>
        <v>0</v>
      </c>
      <c r="K173" s="664">
        <f>'Non-State'!BR183</f>
        <v>0</v>
      </c>
      <c r="L173" s="664">
        <f>'Non-State'!CH183</f>
        <v>0</v>
      </c>
      <c r="M173" s="664">
        <f>'Non-State'!CB183</f>
        <v>0</v>
      </c>
    </row>
    <row r="174" spans="2:13" x14ac:dyDescent="0.25">
      <c r="B174" s="661">
        <f>'Non-State'!C184</f>
        <v>0</v>
      </c>
      <c r="C174" s="661">
        <f>'Non-State'!D184</f>
        <v>0</v>
      </c>
      <c r="D174" s="664">
        <f>'Non-State'!F184</f>
        <v>0</v>
      </c>
      <c r="E174" s="663">
        <v>0</v>
      </c>
      <c r="F174" s="664">
        <f>'Non-State'!BG184</f>
        <v>0</v>
      </c>
      <c r="G174" s="664">
        <f>'Non-State'!BH184</f>
        <v>0</v>
      </c>
      <c r="H174" s="664">
        <f>'Non-State'!BJ184</f>
        <v>0</v>
      </c>
      <c r="I174" s="664">
        <f>'Non-State'!BO184</f>
        <v>0</v>
      </c>
      <c r="J174" s="664">
        <f>'Non-State'!BL184</f>
        <v>0</v>
      </c>
      <c r="K174" s="664">
        <f>'Non-State'!BR184</f>
        <v>0</v>
      </c>
      <c r="L174" s="664">
        <f>'Non-State'!CH184</f>
        <v>0</v>
      </c>
      <c r="M174" s="664">
        <f>'Non-State'!CB184</f>
        <v>0</v>
      </c>
    </row>
    <row r="175" spans="2:13" x14ac:dyDescent="0.25">
      <c r="B175" s="661">
        <f>'Non-State'!C185</f>
        <v>0</v>
      </c>
      <c r="C175" s="661">
        <f>'Non-State'!D185</f>
        <v>0</v>
      </c>
      <c r="D175" s="664">
        <f>'Non-State'!F185</f>
        <v>0</v>
      </c>
      <c r="E175" s="663">
        <v>0</v>
      </c>
      <c r="F175" s="664">
        <f>'Non-State'!BG185</f>
        <v>0</v>
      </c>
      <c r="G175" s="664">
        <f>'Non-State'!BH185</f>
        <v>0</v>
      </c>
      <c r="H175" s="664">
        <f>'Non-State'!BJ185</f>
        <v>0</v>
      </c>
      <c r="I175" s="664">
        <f>'Non-State'!BO185</f>
        <v>0</v>
      </c>
      <c r="J175" s="664">
        <f>'Non-State'!BL185</f>
        <v>0</v>
      </c>
      <c r="K175" s="664">
        <f>'Non-State'!BR185</f>
        <v>0</v>
      </c>
      <c r="L175" s="664">
        <f>'Non-State'!CH185</f>
        <v>0</v>
      </c>
      <c r="M175" s="664">
        <f>'Non-State'!CB185</f>
        <v>0</v>
      </c>
    </row>
    <row r="176" spans="2:13" x14ac:dyDescent="0.25">
      <c r="B176" s="661">
        <f>'Non-State'!C186</f>
        <v>0</v>
      </c>
      <c r="C176" s="661">
        <f>'Non-State'!D186</f>
        <v>0</v>
      </c>
      <c r="D176" s="664">
        <f>'Non-State'!F186</f>
        <v>0</v>
      </c>
      <c r="E176" s="663">
        <v>0</v>
      </c>
      <c r="F176" s="664">
        <f>'Non-State'!BG186</f>
        <v>0</v>
      </c>
      <c r="G176" s="664">
        <f>'Non-State'!BH186</f>
        <v>0</v>
      </c>
      <c r="H176" s="664">
        <f>'Non-State'!BJ186</f>
        <v>0</v>
      </c>
      <c r="I176" s="664">
        <f>'Non-State'!BO186</f>
        <v>0</v>
      </c>
      <c r="J176" s="664">
        <f>'Non-State'!BL186</f>
        <v>0</v>
      </c>
      <c r="K176" s="664">
        <f>'Non-State'!BR186</f>
        <v>0</v>
      </c>
      <c r="L176" s="664">
        <f>'Non-State'!CH186</f>
        <v>0</v>
      </c>
      <c r="M176" s="664">
        <f>'Non-State'!CB186</f>
        <v>0</v>
      </c>
    </row>
    <row r="177" spans="2:13" x14ac:dyDescent="0.25">
      <c r="B177" s="661">
        <f>'Non-State'!C187</f>
        <v>0</v>
      </c>
      <c r="C177" s="661">
        <f>'Non-State'!D187</f>
        <v>0</v>
      </c>
      <c r="D177" s="664">
        <f>'Non-State'!F187</f>
        <v>0</v>
      </c>
      <c r="E177" s="663">
        <v>0</v>
      </c>
      <c r="F177" s="664">
        <f>'Non-State'!BG187</f>
        <v>0</v>
      </c>
      <c r="G177" s="664">
        <f>'Non-State'!BH187</f>
        <v>0</v>
      </c>
      <c r="H177" s="664">
        <f>'Non-State'!BJ187</f>
        <v>0</v>
      </c>
      <c r="I177" s="664">
        <f>'Non-State'!BO187</f>
        <v>0</v>
      </c>
      <c r="J177" s="664">
        <f>'Non-State'!BL187</f>
        <v>0</v>
      </c>
      <c r="K177" s="664">
        <f>'Non-State'!BR187</f>
        <v>0</v>
      </c>
      <c r="L177" s="664">
        <f>'Non-State'!CH187</f>
        <v>0</v>
      </c>
      <c r="M177" s="664">
        <f>'Non-State'!CB187</f>
        <v>0</v>
      </c>
    </row>
    <row r="178" spans="2:13" x14ac:dyDescent="0.25">
      <c r="B178" s="661">
        <f>'Non-State'!C188</f>
        <v>0</v>
      </c>
      <c r="C178" s="661">
        <f>'Non-State'!D188</f>
        <v>0</v>
      </c>
      <c r="D178" s="664">
        <f>'Non-State'!F188</f>
        <v>0</v>
      </c>
      <c r="E178" s="663">
        <v>0</v>
      </c>
      <c r="F178" s="664">
        <f>'Non-State'!BG188</f>
        <v>0</v>
      </c>
      <c r="G178" s="664">
        <f>'Non-State'!BH188</f>
        <v>0</v>
      </c>
      <c r="H178" s="664">
        <f>'Non-State'!BJ188</f>
        <v>0</v>
      </c>
      <c r="I178" s="664">
        <f>'Non-State'!BO188</f>
        <v>0</v>
      </c>
      <c r="J178" s="664">
        <f>'Non-State'!BL188</f>
        <v>0</v>
      </c>
      <c r="K178" s="664">
        <f>'Non-State'!BR188</f>
        <v>0</v>
      </c>
      <c r="L178" s="664">
        <f>'Non-State'!CH188</f>
        <v>0</v>
      </c>
      <c r="M178" s="664">
        <f>'Non-State'!CB188</f>
        <v>0</v>
      </c>
    </row>
    <row r="179" spans="2:13" x14ac:dyDescent="0.25">
      <c r="B179" s="661">
        <f>'Non-State'!C189</f>
        <v>0</v>
      </c>
      <c r="C179" s="661">
        <f>'Non-State'!D189</f>
        <v>0</v>
      </c>
      <c r="D179" s="664">
        <f>'Non-State'!F189</f>
        <v>0</v>
      </c>
      <c r="E179" s="663">
        <v>0</v>
      </c>
      <c r="F179" s="664">
        <f>'Non-State'!BG189</f>
        <v>0</v>
      </c>
      <c r="G179" s="664">
        <f>'Non-State'!BH189</f>
        <v>0</v>
      </c>
      <c r="H179" s="664">
        <f>'Non-State'!BJ189</f>
        <v>0</v>
      </c>
      <c r="I179" s="664">
        <f>'Non-State'!BO189</f>
        <v>0</v>
      </c>
      <c r="J179" s="664">
        <f>'Non-State'!BL189</f>
        <v>0</v>
      </c>
      <c r="K179" s="664">
        <f>'Non-State'!BR189</f>
        <v>0</v>
      </c>
      <c r="L179" s="664">
        <f>'Non-State'!CH189</f>
        <v>0</v>
      </c>
      <c r="M179" s="664">
        <f>'Non-State'!CB189</f>
        <v>0</v>
      </c>
    </row>
    <row r="180" spans="2:13" x14ac:dyDescent="0.25">
      <c r="B180" s="661">
        <f>'Non-State'!C190</f>
        <v>0</v>
      </c>
      <c r="C180" s="661">
        <f>'Non-State'!D190</f>
        <v>0</v>
      </c>
      <c r="D180" s="664">
        <f>'Non-State'!F190</f>
        <v>0</v>
      </c>
      <c r="E180" s="663">
        <v>0</v>
      </c>
      <c r="F180" s="664">
        <f>'Non-State'!BG190</f>
        <v>0</v>
      </c>
      <c r="G180" s="664">
        <f>'Non-State'!BH190</f>
        <v>0</v>
      </c>
      <c r="H180" s="664">
        <f>'Non-State'!BJ190</f>
        <v>0</v>
      </c>
      <c r="I180" s="664">
        <f>'Non-State'!BO190</f>
        <v>0</v>
      </c>
      <c r="J180" s="664">
        <f>'Non-State'!BL190</f>
        <v>0</v>
      </c>
      <c r="K180" s="664">
        <f>'Non-State'!BR190</f>
        <v>0</v>
      </c>
      <c r="L180" s="664">
        <f>'Non-State'!CH190</f>
        <v>0</v>
      </c>
      <c r="M180" s="664">
        <f>'Non-State'!CB190</f>
        <v>0</v>
      </c>
    </row>
    <row r="181" spans="2:13" x14ac:dyDescent="0.25">
      <c r="B181" s="661">
        <f>'Non-State'!C191</f>
        <v>0</v>
      </c>
      <c r="C181" s="661">
        <f>'Non-State'!D191</f>
        <v>0</v>
      </c>
      <c r="D181" s="664">
        <f>'Non-State'!F191</f>
        <v>0</v>
      </c>
      <c r="E181" s="663">
        <v>0</v>
      </c>
      <c r="F181" s="664">
        <f>'Non-State'!BG191</f>
        <v>0</v>
      </c>
      <c r="G181" s="664">
        <f>'Non-State'!BH191</f>
        <v>0</v>
      </c>
      <c r="H181" s="664">
        <f>'Non-State'!BJ191</f>
        <v>0</v>
      </c>
      <c r="I181" s="664">
        <f>'Non-State'!BO191</f>
        <v>0</v>
      </c>
      <c r="J181" s="664">
        <f>'Non-State'!BL191</f>
        <v>0</v>
      </c>
      <c r="K181" s="664">
        <f>'Non-State'!BR191</f>
        <v>0</v>
      </c>
      <c r="L181" s="664">
        <f>'Non-State'!CH191</f>
        <v>0</v>
      </c>
      <c r="M181" s="664">
        <f>'Non-State'!CB191</f>
        <v>0</v>
      </c>
    </row>
    <row r="182" spans="2:13" x14ac:dyDescent="0.25">
      <c r="B182" s="661">
        <f>'Non-State'!C192</f>
        <v>0</v>
      </c>
      <c r="C182" s="661">
        <f>'Non-State'!D192</f>
        <v>0</v>
      </c>
      <c r="D182" s="664">
        <f>'Non-State'!F192</f>
        <v>0</v>
      </c>
      <c r="E182" s="663">
        <v>0</v>
      </c>
      <c r="F182" s="664">
        <f>'Non-State'!BG192</f>
        <v>0</v>
      </c>
      <c r="G182" s="664">
        <f>'Non-State'!BH192</f>
        <v>0</v>
      </c>
      <c r="H182" s="664">
        <f>'Non-State'!BJ192</f>
        <v>0</v>
      </c>
      <c r="I182" s="664">
        <f>'Non-State'!BO192</f>
        <v>0</v>
      </c>
      <c r="J182" s="664">
        <f>'Non-State'!BL192</f>
        <v>0</v>
      </c>
      <c r="K182" s="664">
        <f>'Non-State'!BR192</f>
        <v>0</v>
      </c>
      <c r="L182" s="664">
        <f>'Non-State'!CH192</f>
        <v>0</v>
      </c>
      <c r="M182" s="664">
        <f>'Non-State'!CB192</f>
        <v>0</v>
      </c>
    </row>
    <row r="183" spans="2:13" x14ac:dyDescent="0.25">
      <c r="B183" s="661">
        <f>'Non-State'!C193</f>
        <v>0</v>
      </c>
      <c r="C183" s="661">
        <f>'Non-State'!D193</f>
        <v>0</v>
      </c>
      <c r="D183" s="664">
        <f>'Non-State'!F193</f>
        <v>0</v>
      </c>
      <c r="E183" s="663">
        <v>0</v>
      </c>
      <c r="F183" s="664">
        <f>'Non-State'!BG193</f>
        <v>0</v>
      </c>
      <c r="G183" s="664">
        <f>'Non-State'!BH193</f>
        <v>0</v>
      </c>
      <c r="H183" s="664">
        <f>'Non-State'!BJ193</f>
        <v>0</v>
      </c>
      <c r="I183" s="664">
        <f>'Non-State'!BO193</f>
        <v>0</v>
      </c>
      <c r="J183" s="664">
        <f>'Non-State'!BL193</f>
        <v>0</v>
      </c>
      <c r="K183" s="664">
        <f>'Non-State'!BR193</f>
        <v>0</v>
      </c>
      <c r="L183" s="664">
        <f>'Non-State'!CH193</f>
        <v>0</v>
      </c>
      <c r="M183" s="664">
        <f>'Non-State'!CB193</f>
        <v>0</v>
      </c>
    </row>
    <row r="184" spans="2:13" x14ac:dyDescent="0.25">
      <c r="B184" s="661">
        <f>'Non-State'!C194</f>
        <v>0</v>
      </c>
      <c r="C184" s="661">
        <f>'Non-State'!D194</f>
        <v>0</v>
      </c>
      <c r="D184" s="664">
        <f>'Non-State'!F194</f>
        <v>0</v>
      </c>
      <c r="E184" s="663">
        <v>0</v>
      </c>
      <c r="F184" s="664">
        <f>'Non-State'!BG194</f>
        <v>0</v>
      </c>
      <c r="G184" s="664">
        <f>'Non-State'!BH194</f>
        <v>0</v>
      </c>
      <c r="H184" s="664">
        <f>'Non-State'!BJ194</f>
        <v>0</v>
      </c>
      <c r="I184" s="664">
        <f>'Non-State'!BO194</f>
        <v>0</v>
      </c>
      <c r="J184" s="664">
        <f>'Non-State'!BL194</f>
        <v>0</v>
      </c>
      <c r="K184" s="664">
        <f>'Non-State'!BR194</f>
        <v>0</v>
      </c>
      <c r="L184" s="664">
        <f>'Non-State'!CH194</f>
        <v>0</v>
      </c>
      <c r="M184" s="664">
        <f>'Non-State'!CB194</f>
        <v>0</v>
      </c>
    </row>
    <row r="185" spans="2:13" x14ac:dyDescent="0.25">
      <c r="B185" s="661">
        <f>'Non-State'!C195</f>
        <v>0</v>
      </c>
      <c r="C185" s="661">
        <f>'Non-State'!D195</f>
        <v>0</v>
      </c>
      <c r="D185" s="664">
        <f>'Non-State'!F195</f>
        <v>0</v>
      </c>
      <c r="E185" s="663">
        <v>0</v>
      </c>
      <c r="F185" s="664">
        <f>'Non-State'!BG195</f>
        <v>0</v>
      </c>
      <c r="G185" s="664">
        <f>'Non-State'!BH195</f>
        <v>0</v>
      </c>
      <c r="H185" s="664">
        <f>'Non-State'!BJ195</f>
        <v>0</v>
      </c>
      <c r="I185" s="664">
        <f>'Non-State'!BO195</f>
        <v>0</v>
      </c>
      <c r="J185" s="664">
        <f>'Non-State'!BL195</f>
        <v>0</v>
      </c>
      <c r="K185" s="664">
        <f>'Non-State'!BR195</f>
        <v>0</v>
      </c>
      <c r="L185" s="664">
        <f>'Non-State'!CH195</f>
        <v>0</v>
      </c>
      <c r="M185" s="664">
        <f>'Non-State'!CB195</f>
        <v>0</v>
      </c>
    </row>
    <row r="186" spans="2:13" x14ac:dyDescent="0.25">
      <c r="B186" s="661">
        <f>'Non-State'!C196</f>
        <v>0</v>
      </c>
      <c r="C186" s="661">
        <f>'Non-State'!D196</f>
        <v>0</v>
      </c>
      <c r="D186" s="664">
        <f>'Non-State'!F196</f>
        <v>0</v>
      </c>
      <c r="E186" s="663">
        <v>0</v>
      </c>
      <c r="F186" s="664">
        <f>'Non-State'!BG196</f>
        <v>0</v>
      </c>
      <c r="G186" s="664">
        <f>'Non-State'!BH196</f>
        <v>0</v>
      </c>
      <c r="H186" s="664">
        <f>'Non-State'!BJ196</f>
        <v>0</v>
      </c>
      <c r="I186" s="664">
        <f>'Non-State'!BO196</f>
        <v>0</v>
      </c>
      <c r="J186" s="664">
        <f>'Non-State'!BL196</f>
        <v>0</v>
      </c>
      <c r="K186" s="664">
        <f>'Non-State'!BR196</f>
        <v>0</v>
      </c>
      <c r="L186" s="664">
        <f>'Non-State'!CH196</f>
        <v>0</v>
      </c>
      <c r="M186" s="664">
        <f>'Non-State'!CB196</f>
        <v>0</v>
      </c>
    </row>
    <row r="187" spans="2:13" x14ac:dyDescent="0.25">
      <c r="B187" s="661">
        <f>'Non-State'!C197</f>
        <v>0</v>
      </c>
      <c r="C187" s="661">
        <f>'Non-State'!D197</f>
        <v>0</v>
      </c>
      <c r="D187" s="664">
        <f>'Non-State'!F197</f>
        <v>0</v>
      </c>
      <c r="E187" s="663">
        <v>0</v>
      </c>
      <c r="F187" s="664">
        <f>'Non-State'!BG197</f>
        <v>0</v>
      </c>
      <c r="G187" s="664">
        <f>'Non-State'!BH197</f>
        <v>0</v>
      </c>
      <c r="H187" s="664">
        <f>'Non-State'!BJ197</f>
        <v>0</v>
      </c>
      <c r="I187" s="664">
        <f>'Non-State'!BO197</f>
        <v>0</v>
      </c>
      <c r="J187" s="664">
        <f>'Non-State'!BL197</f>
        <v>0</v>
      </c>
      <c r="K187" s="664">
        <f>'Non-State'!BR197</f>
        <v>0</v>
      </c>
      <c r="L187" s="664">
        <f>'Non-State'!CH197</f>
        <v>0</v>
      </c>
      <c r="M187" s="664">
        <f>'Non-State'!CB197</f>
        <v>0</v>
      </c>
    </row>
    <row r="188" spans="2:13" x14ac:dyDescent="0.25">
      <c r="B188" s="661">
        <f>'Non-State'!C198</f>
        <v>0</v>
      </c>
      <c r="C188" s="661">
        <f>'Non-State'!D198</f>
        <v>0</v>
      </c>
      <c r="D188" s="664">
        <f>'Non-State'!F198</f>
        <v>0</v>
      </c>
      <c r="E188" s="663">
        <v>0</v>
      </c>
      <c r="F188" s="664">
        <f>'Non-State'!BG198</f>
        <v>0</v>
      </c>
      <c r="G188" s="664">
        <f>'Non-State'!BH198</f>
        <v>0</v>
      </c>
      <c r="H188" s="664">
        <f>'Non-State'!BJ198</f>
        <v>0</v>
      </c>
      <c r="I188" s="664">
        <f>'Non-State'!BO198</f>
        <v>0</v>
      </c>
      <c r="J188" s="664">
        <f>'Non-State'!BL198</f>
        <v>0</v>
      </c>
      <c r="K188" s="664">
        <f>'Non-State'!BR198</f>
        <v>0</v>
      </c>
      <c r="L188" s="664">
        <f>'Non-State'!CH198</f>
        <v>0</v>
      </c>
      <c r="M188" s="664">
        <f>'Non-State'!CB198</f>
        <v>0</v>
      </c>
    </row>
    <row r="189" spans="2:13" x14ac:dyDescent="0.25">
      <c r="B189" s="661">
        <f>'Non-State'!C199</f>
        <v>0</v>
      </c>
      <c r="C189" s="661">
        <f>'Non-State'!D199</f>
        <v>0</v>
      </c>
      <c r="D189" s="664">
        <f>'Non-State'!F199</f>
        <v>0</v>
      </c>
      <c r="E189" s="663">
        <v>0</v>
      </c>
      <c r="F189" s="664">
        <f>'Non-State'!BG199</f>
        <v>0</v>
      </c>
      <c r="G189" s="664">
        <f>'Non-State'!BH199</f>
        <v>0</v>
      </c>
      <c r="H189" s="664">
        <f>'Non-State'!BJ199</f>
        <v>0</v>
      </c>
      <c r="I189" s="664">
        <f>'Non-State'!BO199</f>
        <v>0</v>
      </c>
      <c r="J189" s="664">
        <f>'Non-State'!BL199</f>
        <v>0</v>
      </c>
      <c r="K189" s="664">
        <f>'Non-State'!BR199</f>
        <v>0</v>
      </c>
      <c r="L189" s="664">
        <f>'Non-State'!CH199</f>
        <v>0</v>
      </c>
      <c r="M189" s="664">
        <f>'Non-State'!CB199</f>
        <v>0</v>
      </c>
    </row>
    <row r="190" spans="2:13" x14ac:dyDescent="0.25">
      <c r="B190" s="661">
        <f>'Non-State'!C200</f>
        <v>0</v>
      </c>
      <c r="C190" s="661">
        <f>'Non-State'!D200</f>
        <v>0</v>
      </c>
      <c r="D190" s="664">
        <f>'Non-State'!F200</f>
        <v>0</v>
      </c>
      <c r="E190" s="663">
        <v>0</v>
      </c>
      <c r="F190" s="664">
        <f>'Non-State'!BG200</f>
        <v>0</v>
      </c>
      <c r="G190" s="664">
        <f>'Non-State'!BH200</f>
        <v>0</v>
      </c>
      <c r="H190" s="664">
        <f>'Non-State'!BJ200</f>
        <v>0</v>
      </c>
      <c r="I190" s="664">
        <f>'Non-State'!BO200</f>
        <v>0</v>
      </c>
      <c r="J190" s="664">
        <f>'Non-State'!BL200</f>
        <v>0</v>
      </c>
      <c r="K190" s="664">
        <f>'Non-State'!BR200</f>
        <v>0</v>
      </c>
      <c r="L190" s="664">
        <f>'Non-State'!CH200</f>
        <v>0</v>
      </c>
      <c r="M190" s="664">
        <f>'Non-State'!CB200</f>
        <v>0</v>
      </c>
    </row>
    <row r="191" spans="2:13" x14ac:dyDescent="0.25">
      <c r="B191" s="661">
        <f>'Non-State'!C201</f>
        <v>0</v>
      </c>
      <c r="C191" s="661">
        <f>'Non-State'!D201</f>
        <v>0</v>
      </c>
      <c r="D191" s="664">
        <f>'Non-State'!F201</f>
        <v>0</v>
      </c>
      <c r="E191" s="663">
        <v>0</v>
      </c>
      <c r="F191" s="664">
        <f>'Non-State'!BG201</f>
        <v>0</v>
      </c>
      <c r="G191" s="664">
        <f>'Non-State'!BH201</f>
        <v>0</v>
      </c>
      <c r="H191" s="664">
        <f>'Non-State'!BJ201</f>
        <v>0</v>
      </c>
      <c r="I191" s="664">
        <f>'Non-State'!BO201</f>
        <v>0</v>
      </c>
      <c r="J191" s="664">
        <f>'Non-State'!BL201</f>
        <v>0</v>
      </c>
      <c r="K191" s="664">
        <f>'Non-State'!BR201</f>
        <v>0</v>
      </c>
      <c r="L191" s="664">
        <f>'Non-State'!CH201</f>
        <v>0</v>
      </c>
      <c r="M191" s="664">
        <f>'Non-State'!CB201</f>
        <v>0</v>
      </c>
    </row>
    <row r="192" spans="2:13" x14ac:dyDescent="0.25">
      <c r="B192" s="661">
        <f>'Non-State'!C202</f>
        <v>0</v>
      </c>
      <c r="C192" s="661">
        <f>'Non-State'!D202</f>
        <v>0</v>
      </c>
      <c r="D192" s="664">
        <f>'Non-State'!F202</f>
        <v>0</v>
      </c>
      <c r="E192" s="663">
        <v>0</v>
      </c>
      <c r="F192" s="664">
        <f>'Non-State'!BG202</f>
        <v>0</v>
      </c>
      <c r="G192" s="664">
        <f>'Non-State'!BH202</f>
        <v>0</v>
      </c>
      <c r="H192" s="664">
        <f>'Non-State'!BJ202</f>
        <v>0</v>
      </c>
      <c r="I192" s="664">
        <f>'Non-State'!BO202</f>
        <v>0</v>
      </c>
      <c r="J192" s="664">
        <f>'Non-State'!BL202</f>
        <v>0</v>
      </c>
      <c r="K192" s="664">
        <f>'Non-State'!BR202</f>
        <v>0</v>
      </c>
      <c r="L192" s="664">
        <f>'Non-State'!CH202</f>
        <v>0</v>
      </c>
      <c r="M192" s="664">
        <f>'Non-State'!CB202</f>
        <v>0</v>
      </c>
    </row>
    <row r="193" spans="2:13" x14ac:dyDescent="0.25">
      <c r="B193" s="661">
        <f>'Non-State'!C203</f>
        <v>0</v>
      </c>
      <c r="C193" s="661">
        <f>'Non-State'!D203</f>
        <v>0</v>
      </c>
      <c r="D193" s="664">
        <f>'Non-State'!F203</f>
        <v>0</v>
      </c>
      <c r="E193" s="663">
        <v>0</v>
      </c>
      <c r="F193" s="664">
        <f>'Non-State'!BG203</f>
        <v>0</v>
      </c>
      <c r="G193" s="664">
        <f>'Non-State'!BH203</f>
        <v>0</v>
      </c>
      <c r="H193" s="664">
        <f>'Non-State'!BJ203</f>
        <v>0</v>
      </c>
      <c r="I193" s="664">
        <f>'Non-State'!BO203</f>
        <v>0</v>
      </c>
      <c r="J193" s="664">
        <f>'Non-State'!BL203</f>
        <v>0</v>
      </c>
      <c r="K193" s="664">
        <f>'Non-State'!BR203</f>
        <v>0</v>
      </c>
      <c r="L193" s="664">
        <f>'Non-State'!CH203</f>
        <v>0</v>
      </c>
      <c r="M193" s="664">
        <f>'Non-State'!CB203</f>
        <v>0</v>
      </c>
    </row>
    <row r="194" spans="2:13" x14ac:dyDescent="0.25">
      <c r="B194" s="661">
        <f>'Non-State'!C204</f>
        <v>0</v>
      </c>
      <c r="C194" s="661">
        <f>'Non-State'!D204</f>
        <v>0</v>
      </c>
      <c r="D194" s="664">
        <f>'Non-State'!F204</f>
        <v>0</v>
      </c>
      <c r="E194" s="663">
        <v>0</v>
      </c>
      <c r="F194" s="664">
        <f>'Non-State'!BG204</f>
        <v>0</v>
      </c>
      <c r="G194" s="664">
        <f>'Non-State'!BH204</f>
        <v>0</v>
      </c>
      <c r="H194" s="664">
        <f>'Non-State'!BJ204</f>
        <v>0</v>
      </c>
      <c r="I194" s="664">
        <f>'Non-State'!BO204</f>
        <v>0</v>
      </c>
      <c r="J194" s="664">
        <f>'Non-State'!BL204</f>
        <v>0</v>
      </c>
      <c r="K194" s="664">
        <f>'Non-State'!BR204</f>
        <v>0</v>
      </c>
      <c r="L194" s="664">
        <f>'Non-State'!CH204</f>
        <v>0</v>
      </c>
      <c r="M194" s="664">
        <f>'Non-State'!CB204</f>
        <v>0</v>
      </c>
    </row>
    <row r="195" spans="2:13" x14ac:dyDescent="0.25">
      <c r="B195" s="661">
        <f>'Non-State'!C205</f>
        <v>0</v>
      </c>
      <c r="C195" s="661">
        <f>'Non-State'!D205</f>
        <v>0</v>
      </c>
      <c r="D195" s="664">
        <f>'Non-State'!F205</f>
        <v>0</v>
      </c>
      <c r="E195" s="663">
        <v>0</v>
      </c>
      <c r="F195" s="664">
        <f>'Non-State'!BG205</f>
        <v>0</v>
      </c>
      <c r="G195" s="664">
        <f>'Non-State'!BH205</f>
        <v>0</v>
      </c>
      <c r="H195" s="664">
        <f>'Non-State'!BJ205</f>
        <v>0</v>
      </c>
      <c r="I195" s="664">
        <f>'Non-State'!BO205</f>
        <v>0</v>
      </c>
      <c r="J195" s="664">
        <f>'Non-State'!BL205</f>
        <v>0</v>
      </c>
      <c r="K195" s="664">
        <f>'Non-State'!BR205</f>
        <v>0</v>
      </c>
      <c r="L195" s="664">
        <f>'Non-State'!CH205</f>
        <v>0</v>
      </c>
      <c r="M195" s="664">
        <f>'Non-State'!CB205</f>
        <v>0</v>
      </c>
    </row>
    <row r="196" spans="2:13" x14ac:dyDescent="0.25">
      <c r="B196" s="661">
        <f>'Non-State'!C206</f>
        <v>0</v>
      </c>
      <c r="C196" s="661">
        <f>'Non-State'!D206</f>
        <v>0</v>
      </c>
      <c r="D196" s="664">
        <f>'Non-State'!F206</f>
        <v>0</v>
      </c>
      <c r="E196" s="663">
        <v>0</v>
      </c>
      <c r="F196" s="664">
        <f>'Non-State'!BG206</f>
        <v>0</v>
      </c>
      <c r="G196" s="664">
        <f>'Non-State'!BH206</f>
        <v>0</v>
      </c>
      <c r="H196" s="664">
        <f>'Non-State'!BJ206</f>
        <v>0</v>
      </c>
      <c r="I196" s="664">
        <f>'Non-State'!BO206</f>
        <v>0</v>
      </c>
      <c r="J196" s="664">
        <f>'Non-State'!BL206</f>
        <v>0</v>
      </c>
      <c r="K196" s="664">
        <f>'Non-State'!BR206</f>
        <v>0</v>
      </c>
      <c r="L196" s="664">
        <f>'Non-State'!CH206</f>
        <v>0</v>
      </c>
      <c r="M196" s="664">
        <f>'Non-State'!CB206</f>
        <v>0</v>
      </c>
    </row>
  </sheetData>
  <conditionalFormatting sqref="D131:D133">
    <cfRule type="duplicateValues" dxfId="0" priority="1"/>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FB1C3831292E4A96CD81CECB020EC0" ma:contentTypeVersion="15" ma:contentTypeDescription="Create a new document." ma:contentTypeScope="" ma:versionID="35a1d436f274f898b61aae2ab92fb7c7">
  <xsd:schema xmlns:xsd="http://www.w3.org/2001/XMLSchema" xmlns:xs="http://www.w3.org/2001/XMLSchema" xmlns:p="http://schemas.microsoft.com/office/2006/metadata/properties" xmlns:ns2="92d3b7a5-8da5-4615-950f-0681d7046a28" xmlns:ns3="ae10bfff-b300-49a0-926c-3a71006b5d33" targetNamespace="http://schemas.microsoft.com/office/2006/metadata/properties" ma:root="true" ma:fieldsID="0d70a267b54e597b45ccc7e13c36067d" ns2:_="" ns3:_="">
    <xsd:import namespace="92d3b7a5-8da5-4615-950f-0681d7046a28"/>
    <xsd:import namespace="ae10bfff-b300-49a0-926c-3a71006b5d3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10bfff-b300-49a0-926c-3a71006b5d3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31F665-BC03-48B4-9878-850DACFFA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ae10bfff-b300-49a0-926c-3a71006b5d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229062-916D-42E9-A348-1B5A967E8468}">
  <ds:schemaRefs>
    <ds:schemaRef ds:uri="http://schemas.microsoft.com/sharepoint/events"/>
  </ds:schemaRefs>
</ds:datastoreItem>
</file>

<file path=customXml/itemProps3.xml><?xml version="1.0" encoding="utf-8"?>
<ds:datastoreItem xmlns:ds="http://schemas.openxmlformats.org/officeDocument/2006/customXml" ds:itemID="{5B44990F-C1B6-4684-A262-EB268AAE69DE}">
  <ds:schemaRefs>
    <ds:schemaRef ds:uri="http://schemas.microsoft.com/sharepoint/v3/contenttype/forms"/>
  </ds:schemaRefs>
</ds:datastoreItem>
</file>

<file path=customXml/itemProps4.xml><?xml version="1.0" encoding="utf-8"?>
<ds:datastoreItem xmlns:ds="http://schemas.openxmlformats.org/officeDocument/2006/customXml" ds:itemID="{1385680C-80CB-40EF-BFAA-E489CA9141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Summary Dynamic</vt:lpstr>
      <vt:lpstr>Summary Dashboard</vt:lpstr>
      <vt:lpstr>Assumption Inputs</vt:lpstr>
      <vt:lpstr>State</vt:lpstr>
      <vt:lpstr>Non-State</vt:lpstr>
      <vt:lpstr>Negative SPC</vt:lpstr>
      <vt:lpstr>Payment Output</vt:lpstr>
      <vt:lpstr>All_Funds_DSH_Allocation</vt:lpstr>
      <vt:lpstr>DSH_Allotment_Decrease_YoY</vt:lpstr>
      <vt:lpstr>DY</vt:lpstr>
      <vt:lpstr>Factor_Applied_to_SPC_Less_Attributable_Advance_Payments</vt:lpstr>
      <vt:lpstr>Factor_Applied_to_State_IMDs</vt:lpstr>
      <vt:lpstr>Federal_DSH_Allocation</vt:lpstr>
      <vt:lpstr>Federal_Match_Rate</vt:lpstr>
      <vt:lpstr>Federal_TH_Public_Hospital_IGT_Commitment</vt:lpstr>
      <vt:lpstr>Non_TH_Hold_Harmless_Days_Adj</vt:lpstr>
      <vt:lpstr>NonTransferring_Hospital_Self_IGT_Adj</vt:lpstr>
      <vt:lpstr>Pass_3_Set_Aside</vt:lpstr>
      <vt:lpstr>Reduction_Percentage</vt:lpstr>
      <vt:lpstr>Remaining_NonState_for_DSH_Payments</vt:lpstr>
      <vt:lpstr>Remaining_Total_NonState_Funds</vt:lpstr>
      <vt:lpstr>Set_Aside_IGT_Repayment</vt:lpstr>
      <vt:lpstr>State_GR_Commitment</vt:lpstr>
      <vt:lpstr>State_Match_Rate</vt:lpstr>
      <vt:lpstr>State_Remaining_Funds_for_NonState_Pass_1_and_2</vt:lpstr>
      <vt:lpstr>Texas_IMD_Cap</vt:lpstr>
      <vt:lpstr>TH_IGT_Repayment</vt:lpstr>
      <vt:lpstr>Total_Remaining_Funds_for_Non_State_Pass_1_and_2</vt:lpstr>
      <vt:lpstr>Total_State_GR_Commitment</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Gonzalez,Meredith (HHSC)</dc:creator>
  <cp:keywords/>
  <dc:description/>
  <cp:lastModifiedBy>Dutcher,James (HHSC)</cp:lastModifiedBy>
  <cp:revision/>
  <dcterms:created xsi:type="dcterms:W3CDTF">2023-06-02T21:12:55Z</dcterms:created>
  <dcterms:modified xsi:type="dcterms:W3CDTF">2023-06-05T17:32:32Z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0x010100E0FB1C3831292E4A96CD81CECB020EC0</vt:lpwstr>
  </property>
</Properties>
</file>